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6" documentId="8_{6D2A054A-1428-4577-9890-41C5D6A52304}" xr6:coauthVersionLast="47" xr6:coauthVersionMax="47" xr10:uidLastSave="{97F48D61-2253-45F9-9FB4-039806D112C6}"/>
  <workbookProtection workbookAlgorithmName="SHA-512" workbookHashValue="P2wle96cwBYv+hsKXBjkylD0N6OYgpkJjJ3uDj11DPcpV05EOlAbNqF+Uxz12GaAJWExO3TjVDc9CdSqFerVUQ==" workbookSaltValue="auLjFiOAR8l7MbbcpqQdLw==" workbookSpinCount="100000" lockStructure="1"/>
  <bookViews>
    <workbookView xWindow="-12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6" l="1"/>
  <c r="D15" i="6"/>
  <c r="D13" i="6"/>
  <c r="D11" i="6"/>
  <c r="D9" i="6"/>
  <c r="D13" i="9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B14" i="13" s="1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AK252" i="2" l="1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T11" i="2" s="1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K35" i="6" s="1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<sst xmlns="http://schemas.openxmlformats.org/spreadsheetml/2006/main" count="6763" uniqueCount="2760">
  <si>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</si>
  <si>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</si>
  <si>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</si>
  <si>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</si>
  <si>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</si>
  <si>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</si>
  <si>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</si>
  <si>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</si>
  <si>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</si>
  <si>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</si>
  <si>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</si>
  <si>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</si>
  <si>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</si>
  <si>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</si>
  <si>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</si>
  <si>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</si>
  <si>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</si>
  <si>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</si>
  <si>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</si>
  <si>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</si>
  <si>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</si>
  <si>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</si>
  <si>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</si>
  <si>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</si>
  <si>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</si>
  <si>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</si>
  <si>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</si>
  <si>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</si>
  <si>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</si>
  <si>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</si>
  <si>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</si>
  <si>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</si>
  <si>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</si>
  <si>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</si>
  <si>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</si>
  <si>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</si>
  <si>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</si>
  <si>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</si>
  <si>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</si>
  <si>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</si>
  <si>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</si>
  <si>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</si>
  <si>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</si>
  <si>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</si>
  <si>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</si>
  <si>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</si>
  <si>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</si>
  <si>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</si>
  <si>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</si>
  <si>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</si>
  <si>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</si>
  <si>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</si>
  <si>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</si>
  <si>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</si>
  <si>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</si>
  <si>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</si>
  <si>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</si>
  <si>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</si>
  <si>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</si>
  <si>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</si>
  <si>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</si>
  <si>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</si>
  <si>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</si>
  <si>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</si>
  <si>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</si>
  <si>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</si>
  <si>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</si>
  <si>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</si>
  <si>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</si>
  <si>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</si>
  <si>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</si>
  <si>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</si>
  <si>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</si>
  <si>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</si>
  <si>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</si>
  <si>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</si>
  <si>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</si>
  <si>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</si>
  <si>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</si>
  <si>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</si>
  <si>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</si>
  <si>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</si>
  <si>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</si>
  <si>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</si>
  <si>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</si>
  <si>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</si>
  <si>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</si>
  <si>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</si>
  <si>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</si>
  <si>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</si>
  <si>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</si>
  <si>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</si>
  <si>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</si>
  <si>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</si>
  <si>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</si>
  <si>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</si>
  <si>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</si>
  <si>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</si>
  <si>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</si>
  <si>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</si>
  <si>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</si>
  <si>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</si>
  <si>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</si>
  <si>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</si>
  <si>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</si>
  <si>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</si>
  <si>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</si>
  <si>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</si>
  <si>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</si>
  <si>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</si>
  <si>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</si>
  <si>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</si>
  <si>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</si>
  <si>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</si>
  <si>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</si>
  <si>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</si>
  <si>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</si>
  <si>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</si>
  <si>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</si>
  <si>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</si>
  <si>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</si>
  <si>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</si>
  <si>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</si>
  <si>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</si>
  <si>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</si>
  <si>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</si>
  <si>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</si>
  <si>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</si>
  <si>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</si>
  <si>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</si>
  <si>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</si>
  <si>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</si>
  <si>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</si>
  <si>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</si>
  <si>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</si>
  <si>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</si>
  <si>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</si>
  <si>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</si>
  <si>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</si>
  <si>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</si>
  <si>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</si>
  <si>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</si>
  <si>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</si>
  <si>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</si>
  <si>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</si>
  <si>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</si>
  <si>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</si>
  <si>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</si>
  <si>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</si>
  <si>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</si>
  <si>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</si>
  <si>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</si>
  <si>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</si>
  <si>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</si>
  <si>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</si>
  <si>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</si>
  <si>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</si>
  <si>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</si>
  <si>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</si>
  <si>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</si>
  <si>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</si>
  <si>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</si>
  <si>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</si>
  <si>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</si>
  <si>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</si>
  <si>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</si>
  <si>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</si>
  <si>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</si>
  <si>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</si>
  <si>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</si>
  <si>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</si>
  <si>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</si>
  <si>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</si>
  <si>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</si>
  <si>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</si>
  <si>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</si>
  <si>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</si>
  <si>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</si>
  <si>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</si>
  <si>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</si>
  <si>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</si>
  <si>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</si>
  <si>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</si>
  <si>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</si>
  <si>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</si>
  <si>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</si>
  <si>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</si>
  <si>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</si>
  <si>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</si>
  <si>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</si>
  <si>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</si>
  <si>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</si>
  <si>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</si>
  <si>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</si>
  <si>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</si>
  <si>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</si>
  <si>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</si>
  <si>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</si>
  <si>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</si>
  <si>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</si>
  <si>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</si>
  <si>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</si>
  <si>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</si>
  <si>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</si>
  <si>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</si>
  <si>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</si>
  <si>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</si>
  <si>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</si>
  <si>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</si>
  <si>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</si>
  <si>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</si>
  <si>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</si>
  <si>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</si>
  <si>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</si>
  <si>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</si>
  <si>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</si>
  <si>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</si>
  <si>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</si>
  <si>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</si>
  <si>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</si>
  <si>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</si>
  <si>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</si>
  <si>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</si>
  <si>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</si>
  <si>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</si>
  <si>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</si>
  <si>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</si>
  <si>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</si>
  <si>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</si>
  <si>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</si>
  <si>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</si>
  <si>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</si>
  <si>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</si>
  <si>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</si>
  <si>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</si>
  <si>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</si>
  <si>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</si>
  <si>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</si>
  <si>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</si>
  <si>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</si>
  <si>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</si>
  <si>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</si>
  <si>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</si>
  <si>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</si>
  <si>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</si>
  <si>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</si>
  <si>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</si>
  <si>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</si>
  <si>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</si>
  <si>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</si>
  <si>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</si>
  <si>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</si>
  <si>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</si>
  <si>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</si>
  <si>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</si>
  <si>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</si>
  <si>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</si>
  <si>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</si>
  <si>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</si>
  <si>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</si>
  <si>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</si>
  <si>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</si>
  <si>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</si>
  <si>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</si>
  <si>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</si>
  <si>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</si>
  <si>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</si>
  <si>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</si>
  <si>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</si>
  <si>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</si>
  <si>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</si>
  <si>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</si>
  <si>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</si>
  <si>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</si>
  <si>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</si>
  <si>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</si>
  <si>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</si>
  <si>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</si>
  <si>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</si>
  <si>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</si>
  <si>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</si>
  <si>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</si>
  <si>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</si>
  <si>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</si>
  <si>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</si>
  <si>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</si>
  <si>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</si>
  <si>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</si>
  <si>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</si>
  <si>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</si>
  <si>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</si>
  <si>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</si>
  <si>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</si>
  <si>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</si>
  <si>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</si>
  <si>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</si>
  <si>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</si>
  <si>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</si>
  <si>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</si>
  <si>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</si>
  <si>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</si>
  <si>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</si>
  <si>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</si>
  <si>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</si>
  <si>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</si>
  <si>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</si>
  <si>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</si>
  <si>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</si>
  <si>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</si>
  <si>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</si>
  <si>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</si>
  <si>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</si>
  <si>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</si>
  <si>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</si>
  <si>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</si>
  <si>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</si>
  <si>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</si>
  <si>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</si>
  <si>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</si>
  <si>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</si>
  <si>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</si>
  <si>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</si>
  <si>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</si>
  <si>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</si>
  <si>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</si>
  <si>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</si>
  <si>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</si>
  <si>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</si>
  <si>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</si>
  <si>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</si>
  <si>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</si>
  <si>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</si>
  <si>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</si>
  <si>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</si>
  <si>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</si>
  <si>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</si>
  <si>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</si>
  <si>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</si>
  <si>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</si>
  <si>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</si>
  <si>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</si>
  <si>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</si>
  <si>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</si>
  <si>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</si>
  <si>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</si>
  <si>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</si>
  <si>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</si>
  <si>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</si>
  <si>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</si>
  <si>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</si>
  <si>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</si>
  <si>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</si>
  <si>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</si>
  <si>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</si>
  <si>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</si>
  <si>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</si>
  <si>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</si>
  <si>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</si>
  <si>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</si>
  <si>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</si>
  <si>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</si>
  <si>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</si>
  <si>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</si>
  <si>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</si>
  <si>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</si>
  <si>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</si>
  <si>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</si>
  <si>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</si>
  <si>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</si>
  <si>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</si>
  <si>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</si>
  <si>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</si>
  <si>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</si>
  <si>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</si>
  <si>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</si>
  <si>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</si>
  <si>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</si>
  <si>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</si>
  <si>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</si>
  <si>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</si>
  <si>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</si>
  <si>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</si>
  <si>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</si>
  <si>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</si>
  <si>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</si>
  <si>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</si>
  <si>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</si>
  <si>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</si>
  <si>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</si>
  <si>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</si>
  <si>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</si>
  <si>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</si>
  <si>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</si>
  <si>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</si>
  <si>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</si>
  <si>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</si>
  <si>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</si>
  <si>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</si>
  <si>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</si>
  <si>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</si>
  <si>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</si>
  <si>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</si>
  <si>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</si>
  <si>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</si>
  <si>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</si>
  <si>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</si>
  <si>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</si>
  <si>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</si>
  <si>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</si>
  <si>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</si>
  <si>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</si>
  <si>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</si>
  <si>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</si>
  <si>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</si>
  <si>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</si>
  <si>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</si>
  <si>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</si>
  <si>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</si>
  <si>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</si>
  <si>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</si>
  <si>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</si>
  <si>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</si>
  <si>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</si>
  <si>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</si>
  <si>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</si>
  <si>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</si>
  <si>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</si>
  <si>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</si>
  <si>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</si>
  <si>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</si>
  <si>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</si>
  <si>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</si>
  <si>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</si>
  <si>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</si>
  <si>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</si>
  <si>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</si>
  <si>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</si>
  <si>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</si>
  <si>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</si>
  <si>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</si>
  <si>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</si>
  <si>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</si>
  <si>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</si>
  <si>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</si>
  <si>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</si>
  <si>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</si>
  <si>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</si>
  <si>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</si>
  <si>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</si>
  <si>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</si>
  <si>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</si>
  <si>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</si>
  <si>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</si>
  <si>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</si>
  <si>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</si>
  <si>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</si>
  <si>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</si>
  <si>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</si>
  <si>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</si>
  <si>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</si>
  <si>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</si>
  <si>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</si>
  <si>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</si>
  <si>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</si>
  <si>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</si>
  <si>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</si>
  <si>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</si>
  <si>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</si>
  <si>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</si>
  <si>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</si>
  <si>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</si>
  <si>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</si>
  <si>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</si>
  <si>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</si>
  <si>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</si>
  <si>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</si>
  <si>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</si>
  <si>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</si>
  <si>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</si>
  <si>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</si>
  <si>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</si>
  <si>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</si>
  <si>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</si>
  <si>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</si>
  <si>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</si>
  <si>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</si>
  <si>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</si>
  <si>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</si>
  <si>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</si>
  <si>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</si>
  <si>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</si>
  <si>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</si>
  <si>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</si>
  <si>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</si>
  <si>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</si>
  <si>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</si>
  <si>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</si>
  <si>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</si>
  <si>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</si>
  <si>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</si>
  <si>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</si>
  <si>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</si>
  <si>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</si>
  <si>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</si>
  <si>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</si>
  <si>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</si>
  <si>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</si>
  <si>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</si>
  <si>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</si>
  <si>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</si>
  <si>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</si>
  <si>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</si>
  <si>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</si>
  <si>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</si>
  <si>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</si>
  <si>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</si>
  <si>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</si>
  <si>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</si>
  <si>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</si>
  <si>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</si>
  <si>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</si>
  <si>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</si>
  <si>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</si>
  <si>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</si>
  <si>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</si>
  <si>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</si>
  <si>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</si>
  <si>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</si>
  <si>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</si>
  <si>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</si>
  <si>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</si>
  <si>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</si>
  <si>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</si>
  <si>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</si>
  <si>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</si>
  <si>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</si>
  <si>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</si>
  <si>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</si>
  <si>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</si>
  <si>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</si>
  <si>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</si>
  <si>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</si>
  <si>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</si>
  <si>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</si>
  <si>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</si>
  <si>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</si>
  <si>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</si>
  <si>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</si>
  <si>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</si>
  <si>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</si>
  <si>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</si>
  <si>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</si>
  <si>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</si>
  <si>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</si>
  <si>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</si>
  <si>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</si>
  <si>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</si>
  <si>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</si>
  <si>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</si>
  <si>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</si>
  <si>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</si>
  <si>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</si>
  <si>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</si>
  <si>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</si>
  <si>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</si>
  <si>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</si>
  <si>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</si>
  <si>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</si>
  <si>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</si>
  <si>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</si>
  <si>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</si>
  <si>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</si>
  <si>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</si>
  <si>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</si>
  <si>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</si>
  <si>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</si>
  <si>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</si>
  <si>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</si>
  <si>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</si>
  <si>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</si>
  <si>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</si>
  <si>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</si>
  <si>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</si>
  <si>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</si>
  <si>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</si>
  <si>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</si>
  <si>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</si>
  <si>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</si>
  <si>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</si>
  <si>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</si>
  <si>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</si>
  <si>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</si>
  <si>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</si>
  <si>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</si>
  <si>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</si>
  <si>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</si>
  <si>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</si>
  <si>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</si>
  <si>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</si>
  <si>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</si>
  <si>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</si>
  <si>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</si>
  <si>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</si>
  <si>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</si>
  <si>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</si>
  <si>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</si>
  <si>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</si>
  <si>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</si>
  <si>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</si>
  <si>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</si>
  <si>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</si>
  <si>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</si>
  <si>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</si>
  <si>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</si>
  <si>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</si>
  <si>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</si>
  <si>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</si>
  <si>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</si>
  <si>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</si>
  <si>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</si>
  <si>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</si>
  <si>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</si>
  <si>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</si>
  <si>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</si>
  <si>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</si>
  <si>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</si>
  <si>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</si>
  <si>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</si>
  <si>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</si>
  <si>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</si>
  <si>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</si>
  <si>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</si>
  <si>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</si>
  <si>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</si>
  <si>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</si>
  <si>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</si>
  <si>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</si>
  <si>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</si>
  <si>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</si>
  <si>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</si>
  <si>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</si>
  <si>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</si>
  <si>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</si>
  <si>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</si>
  <si>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</si>
  <si>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</si>
  <si>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</si>
  <si>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</si>
  <si>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</si>
  <si>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</si>
  <si>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</si>
  <si>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</si>
  <si>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</si>
  <si>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</si>
  <si>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</si>
  <si>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</si>
  <si>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</si>
  <si>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</si>
  <si>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</si>
  <si>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</si>
  <si>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</si>
  <si>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</si>
  <si>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</si>
  <si>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</si>
  <si>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</si>
  <si>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</si>
  <si>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</si>
  <si>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</si>
  <si>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</si>
  <si>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</si>
  <si>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</si>
  <si>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</si>
  <si>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</si>
  <si>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</si>
  <si>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</si>
  <si>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</si>
  <si>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</si>
  <si>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</si>
  <si>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</si>
  <si>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</si>
  <si>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</si>
  <si>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</si>
  <si>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</si>
  <si>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</si>
  <si>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</si>
  <si>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</si>
  <si>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</si>
  <si>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</si>
  <si>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</si>
  <si>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</si>
  <si>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</si>
  <si>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</si>
  <si>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</si>
  <si>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</si>
  <si>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</si>
  <si>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</si>
  <si>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</si>
  <si>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</si>
  <si>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</si>
  <si>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</si>
  <si>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</si>
  <si>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</si>
  <si>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</si>
  <si>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</si>
  <si>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</si>
  <si>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</si>
  <si>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</si>
  <si>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</si>
  <si>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</si>
  <si>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</si>
  <si>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</si>
  <si>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</si>
  <si>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</si>
  <si>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</si>
  <si>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</si>
  <si>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</si>
  <si>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</si>
  <si>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</si>
  <si>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</si>
  <si>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</si>
  <si>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</si>
  <si>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</si>
  <si>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</si>
  <si>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</si>
  <si>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</si>
  <si>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</si>
  <si>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</si>
  <si>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</si>
  <si>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</si>
  <si>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</si>
  <si>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</si>
  <si>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</si>
  <si>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</si>
  <si>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</si>
  <si>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</si>
  <si>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</si>
  <si>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</si>
  <si>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</si>
  <si>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</si>
  <si>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</si>
  <si>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</si>
  <si>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</si>
  <si>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</si>
  <si>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</si>
  <si>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</si>
  <si>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</si>
  <si>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</si>
  <si>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</si>
  <si>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</si>
  <si>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</si>
  <si>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</si>
  <si>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</si>
  <si>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</si>
  <si>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</si>
  <si>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</si>
  <si>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</si>
  <si>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</si>
  <si>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</si>
  <si>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</si>
  <si>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</si>
  <si>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</si>
  <si>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</si>
  <si>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</si>
  <si>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</si>
  <si>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</si>
  <si>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</si>
  <si>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</si>
  <si>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</si>
  <si>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</si>
  <si>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</si>
  <si>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</si>
  <si>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</si>
  <si>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</si>
  <si>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</si>
  <si>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</si>
  <si>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</si>
  <si>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</si>
  <si>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</si>
  <si>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</si>
  <si>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</si>
  <si>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</si>
  <si>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</si>
  <si>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</si>
  <si>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</si>
  <si>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</si>
  <si>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</si>
  <si>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</si>
  <si>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</si>
  <si>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</si>
  <si>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</si>
  <si>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</si>
  <si>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</si>
  <si>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</si>
  <si>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</si>
  <si>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</si>
  <si>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</si>
  <si>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</si>
  <si>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</si>
  <si>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</si>
  <si>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</si>
  <si>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</si>
  <si>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</si>
  <si>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</si>
  <si>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</si>
  <si>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</si>
  <si>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</si>
  <si>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</si>
  <si>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</si>
  <si>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</si>
  <si>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</si>
  <si>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</si>
  <si>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</si>
  <si>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</si>
  <si>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</si>
  <si>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</si>
  <si>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</si>
  <si>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</si>
  <si>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</si>
  <si>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</si>
  <si>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</si>
  <si>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</si>
  <si>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</si>
  <si>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</si>
  <si>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</si>
  <si>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</si>
  <si>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</si>
  <si>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</si>
  <si>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</si>
  <si>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</si>
  <si>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</si>
  <si>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</si>
  <si>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</si>
  <si>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</si>
  <si>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</si>
  <si>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</si>
  <si>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</si>
  <si>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</si>
  <si>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</si>
  <si>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</si>
  <si>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</si>
  <si>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</si>
  <si>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</si>
  <si>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</si>
  <si>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</si>
  <si>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</si>
  <si>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</si>
  <si>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</si>
  <si>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</si>
  <si>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</si>
  <si>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</si>
  <si>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</si>
  <si>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</si>
  <si>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</si>
  <si>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</si>
  <si>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</si>
  <si>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</si>
  <si>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</si>
  <si>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</si>
  <si>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</si>
  <si>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</si>
  <si>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</si>
  <si>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</si>
  <si>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</si>
  <si>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</si>
  <si>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</si>
  <si>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</si>
  <si>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</si>
  <si>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</si>
  <si>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</si>
  <si>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</si>
  <si>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</si>
  <si>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</si>
  <si>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</si>
  <si>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</si>
  <si>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</si>
  <si>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</si>
  <si>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</si>
  <si>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</si>
  <si>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</si>
  <si>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</si>
  <si>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</si>
  <si>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</si>
  <si>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</si>
  <si>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</si>
  <si>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</si>
  <si>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</si>
  <si>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</si>
  <si>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</si>
  <si>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</si>
  <si>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</si>
  <si>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</si>
  <si>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</si>
  <si>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</si>
  <si>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</si>
  <si>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</si>
  <si>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</si>
  <si>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</si>
  <si>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</si>
  <si>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</si>
  <si>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</si>
  <si>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</si>
  <si>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</si>
  <si>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</si>
  <si>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</si>
  <si>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</si>
  <si>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</si>
  <si>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</si>
  <si>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</si>
  <si>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</si>
  <si>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</si>
  <si>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</si>
  <si>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</si>
  <si>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</si>
  <si>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</si>
  <si>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</si>
  <si>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</si>
  <si>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</si>
  <si>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</si>
  <si>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</si>
  <si>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</si>
  <si>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</si>
  <si>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</si>
  <si>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</si>
  <si>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</si>
  <si>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</si>
  <si>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</si>
  <si>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</si>
  <si>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</si>
  <si>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</si>
  <si>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</si>
  <si>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</si>
  <si>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</si>
  <si>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</si>
  <si>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</si>
  <si>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</si>
  <si>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</si>
  <si>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</si>
  <si>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</si>
  <si>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</si>
  <si>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</si>
  <si>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</si>
  <si>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</si>
  <si>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</si>
  <si>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</si>
  <si>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</si>
  <si>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</si>
  <si>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</si>
  <si>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</si>
  <si>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</si>
  <si>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</si>
  <si>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</si>
  <si>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</si>
  <si>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</si>
  <si>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</si>
  <si>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</si>
  <si>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</si>
  <si>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</si>
  <si>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</si>
  <si>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</si>
  <si>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</si>
  <si>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</si>
  <si>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</si>
  <si>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</si>
  <si>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</si>
  <si>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</si>
  <si>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</si>
  <si>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</si>
  <si>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</si>
  <si>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</si>
  <si>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</si>
  <si>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</si>
  <si>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</si>
  <si>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</si>
  <si>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</si>
  <si>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</si>
  <si>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</si>
  <si>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</si>
  <si>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</si>
  <si>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</si>
  <si>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</si>
  <si>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</si>
  <si>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</si>
  <si>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</si>
  <si>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</si>
  <si>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</si>
  <si>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</si>
  <si>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</si>
  <si>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</si>
  <si>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</si>
  <si>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</si>
  <si>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</si>
  <si>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</si>
  <si>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</si>
  <si>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</si>
  <si>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</si>
  <si>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</si>
  <si>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</si>
  <si>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</si>
  <si>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</si>
  <si>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</si>
  <si>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</si>
  <si>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</si>
  <si>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</si>
  <si>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</si>
  <si>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</si>
  <si>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</si>
  <si>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</si>
  <si>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</si>
  <si>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</si>
  <si>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</si>
  <si>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</si>
  <si>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</si>
  <si>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</si>
  <si>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</si>
  <si>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</si>
  <si>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</si>
  <si>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</si>
  <si>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</si>
  <si>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</si>
  <si>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</si>
  <si>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</si>
  <si>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</si>
  <si>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</si>
  <si>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</si>
  <si>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</si>
  <si>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</si>
  <si>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</si>
  <si>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</si>
  <si>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</si>
  <si>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</si>
  <si>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</si>
  <si>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</si>
  <si>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</si>
  <si>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</si>
  <si>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</si>
  <si>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</si>
  <si>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</si>
  <si>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</si>
  <si>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</si>
  <si>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</si>
  <si>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</si>
  <si>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</si>
  <si>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</si>
  <si>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</si>
  <si>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</si>
  <si>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</si>
  <si>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</si>
  <si>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</si>
  <si>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</si>
  <si>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</si>
  <si>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</si>
  <si>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</si>
  <si>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</si>
  <si>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</si>
  <si>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</si>
  <si>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</si>
  <si>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</si>
  <si>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</si>
  <si>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</si>
  <si>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</si>
  <si>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</si>
  <si>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</si>
  <si>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</si>
  <si>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</si>
  <si>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</si>
  <si>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</si>
  <si>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</si>
  <si>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</si>
  <si>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</si>
  <si>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</si>
  <si>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</si>
  <si>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</si>
  <si>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</si>
  <si>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</si>
  <si>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</si>
  <si>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</si>
  <si>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</si>
  <si>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</si>
  <si>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</si>
  <si>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</si>
  <si>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</si>
  <si>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</si>
  <si>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</si>
  <si>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</si>
  <si>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</si>
  <si>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</si>
  <si>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</si>
  <si>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</si>
  <si>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</si>
  <si>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</si>
  <si>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</si>
  <si>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</si>
  <si>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</si>
  <si>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</si>
  <si>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</si>
  <si>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</si>
  <si>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</si>
  <si>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</si>
  <si>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</si>
  <si>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</si>
  <si>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</si>
  <si>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</si>
  <si>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</si>
  <si>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</si>
  <si>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</si>
  <si>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</si>
  <si>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</si>
  <si>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</si>
  <si>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</si>
  <si>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</si>
  <si>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</si>
  <si>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</si>
  <si>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</si>
  <si>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</si>
  <si>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</si>
  <si>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</si>
  <si>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</si>
  <si>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</si>
  <si>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</si>
  <si>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</si>
  <si>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</si>
  <si>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</si>
  <si>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</si>
  <si>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</si>
  <si>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</si>
  <si>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</si>
  <si>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</si>
  <si>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</si>
  <si>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</si>
  <si>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</si>
  <si>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</si>
  <si>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</si>
  <si>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</si>
  <si>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</si>
  <si>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</si>
  <si>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</si>
  <si>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</si>
  <si>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</si>
  <si>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</si>
  <si>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</si>
  <si>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</si>
  <si>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</si>
  <si>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</si>
  <si>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</si>
  <si>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</si>
  <si>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</si>
  <si>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</si>
  <si>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</si>
  <si>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</si>
  <si>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</si>
  <si>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</si>
  <si>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</si>
  <si>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</si>
  <si>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</si>
  <si>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</si>
  <si>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</si>
  <si>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</si>
  <si>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</si>
  <si>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</si>
  <si>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</si>
  <si>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</si>
  <si>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</si>
  <si>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</si>
  <si>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</si>
  <si>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</si>
  <si>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</si>
  <si>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</si>
  <si>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</si>
  <si>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</si>
  <si>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</si>
  <si>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</si>
  <si>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</si>
  <si>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</si>
  <si>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</si>
  <si>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</si>
  <si>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</si>
  <si>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</si>
  <si>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</si>
  <si>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</si>
  <si>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</si>
  <si>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</si>
  <si>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</si>
  <si>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</si>
  <si>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</si>
  <si>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</si>
  <si>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</si>
  <si>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</si>
  <si>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</si>
  <si>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</si>
  <si>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</si>
  <si>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</si>
  <si>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</si>
  <si>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</si>
  <si>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</si>
  <si>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</si>
  <si>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</si>
  <si>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</si>
  <si>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</si>
  <si>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</si>
  <si>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</si>
  <si>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</si>
  <si>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</si>
  <si>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</si>
  <si>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</si>
  <si>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</si>
  <si>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</si>
  <si>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</si>
  <si>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</si>
  <si>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</si>
  <si>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</si>
  <si>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</si>
  <si>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</si>
  <si>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</si>
  <si>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</si>
  <si>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</si>
  <si>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</si>
  <si>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</si>
  <si>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</si>
  <si>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</si>
  <si>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</si>
  <si>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</si>
  <si>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</si>
  <si>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</si>
  <si>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</si>
  <si>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</si>
  <si>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</si>
  <si>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</si>
  <si>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</si>
  <si>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</si>
  <si>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</si>
  <si>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</si>
  <si>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</si>
  <si>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</si>
  <si>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</si>
  <si>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</si>
  <si>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</si>
  <si>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</si>
  <si>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</si>
  <si>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</si>
  <si>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</si>
  <si>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</si>
  <si>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</si>
  <si>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</si>
  <si>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</si>
  <si>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</si>
  <si>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</si>
  <si>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</si>
  <si>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</si>
  <si>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</si>
  <si>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</si>
  <si>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</si>
  <si>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</si>
  <si>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</si>
  <si>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</si>
  <si>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</si>
  <si>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</si>
  <si>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</si>
  <si>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</si>
  <si>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</si>
  <si>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</si>
  <si>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</si>
  <si>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</si>
  <si>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</si>
  <si>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</si>
  <si>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</si>
  <si>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</si>
  <si>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</si>
  <si>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</si>
  <si>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</si>
  <si>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</si>
  <si>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</si>
  <si>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</si>
  <si>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</si>
  <si>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</si>
  <si>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</si>
  <si>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</si>
  <si>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</si>
  <si>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</si>
  <si>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</si>
  <si>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</si>
  <si>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</si>
  <si>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</si>
  <si>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</si>
  <si>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</si>
  <si>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</si>
  <si>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</si>
  <si>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</si>
  <si>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</si>
  <si>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</si>
  <si>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</si>
  <si>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</si>
  <si>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</si>
  <si>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</si>
  <si>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</si>
  <si>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</si>
  <si>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</si>
  <si>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</si>
  <si>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</si>
  <si>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</si>
  <si>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</si>
  <si>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</si>
  <si>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</si>
  <si>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</si>
  <si>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</si>
  <si>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</si>
  <si>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</si>
  <si>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</si>
  <si>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</si>
  <si>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</si>
  <si>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</si>
  <si>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</si>
  <si>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</si>
  <si>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</si>
  <si>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</si>
  <si>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</si>
  <si>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</si>
  <si>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</si>
  <si>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</si>
  <si>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</si>
  <si>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</si>
  <si>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</si>
  <si>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</si>
  <si>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</si>
  <si>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</si>
  <si>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</si>
  <si>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</si>
  <si>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</si>
  <si>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</si>
  <si>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</si>
  <si>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</si>
  <si>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</si>
  <si>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</si>
  <si>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</si>
  <si>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</si>
  <si>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</si>
  <si>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</si>
  <si>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</si>
  <si>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</si>
  <si>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</si>
  <si>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</si>
  <si>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</si>
  <si>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</si>
  <si>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</si>
  <si>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</si>
  <si>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</si>
  <si>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</si>
  <si>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</si>
  <si>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</si>
  <si>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</si>
  <si>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</si>
  <si>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</si>
  <si>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</si>
  <si>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</si>
  <si>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</si>
  <si>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</si>
  <si>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</si>
  <si>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</si>
  <si>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</si>
  <si>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</si>
  <si>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</si>
  <si>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</si>
  <si>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</si>
  <si>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</si>
  <si>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</si>
  <si>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</si>
  <si>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</si>
  <si>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</si>
  <si>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</si>
  <si>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</si>
  <si>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</si>
  <si>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</si>
  <si>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</si>
  <si>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</si>
  <si>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</si>
  <si>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</si>
  <si>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</si>
  <si>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</si>
  <si>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</si>
  <si>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</si>
  <si>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</si>
  <si>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</si>
  <si>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</si>
  <si>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</si>
  <si>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</si>
  <si>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</si>
  <si>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</si>
  <si>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</si>
  <si>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</si>
  <si>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</si>
  <si>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</si>
  <si>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</si>
  <si>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</si>
  <si>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</si>
  <si>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</si>
  <si>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</si>
  <si>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</si>
  <si>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</si>
  <si>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</si>
  <si>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</si>
  <si>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</si>
  <si>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</si>
  <si>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</si>
  <si>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</si>
  <si>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</si>
  <si>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</si>
  <si>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</si>
  <si>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</si>
  <si>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</si>
  <si>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</si>
  <si>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</si>
  <si>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</si>
  <si>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</si>
  <si>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</si>
  <si>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</si>
  <si>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</si>
  <si>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</si>
  <si>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</si>
  <si>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</si>
  <si>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</si>
  <si>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</si>
  <si>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</si>
  <si>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</si>
  <si>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</si>
  <si>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</si>
  <si>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</si>
  <si>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</si>
  <si>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</si>
  <si>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</si>
  <si>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</si>
  <si>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</si>
  <si>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</si>
  <si>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</si>
  <si>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</si>
  <si>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</si>
  <si>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</si>
  <si>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</si>
  <si>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</si>
  <si>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</si>
  <si>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</si>
  <si>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</si>
  <si>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</si>
  <si>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</si>
  <si>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</si>
  <si>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</si>
  <si>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</si>
  <si>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</si>
  <si>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</si>
  <si>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</si>
  <si>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</si>
  <si>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</si>
  <si>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</si>
  <si>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</si>
  <si>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</si>
  <si>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</si>
  <si>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</si>
  <si>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</si>
  <si>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</si>
  <si>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</si>
  <si>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</si>
  <si>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</si>
  <si>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</si>
  <si>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</si>
  <si>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</si>
  <si>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</si>
  <si>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</si>
  <si>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</si>
  <si>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</si>
  <si>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</si>
  <si>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</si>
  <si>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</si>
  <si>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</si>
  <si>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</si>
  <si>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</si>
  <si>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</si>
  <si>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</si>
  <si>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</si>
  <si>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</si>
  <si>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</si>
  <si>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</si>
  <si>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</si>
  <si>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</si>
  <si>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</si>
  <si>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</si>
  <si>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</si>
  <si>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</si>
  <si>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</si>
  <si>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</si>
  <si>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</si>
  <si>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</si>
  <si>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</si>
  <si>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</si>
  <si>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</si>
  <si>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</si>
  <si>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</si>
  <si>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</si>
  <si>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</si>
  <si>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</si>
  <si>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</si>
  <si>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</si>
  <si>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</si>
  <si>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</si>
  <si>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</si>
  <si>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</si>
  <si>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</si>
  <si>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</si>
  <si>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</si>
  <si>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</si>
  <si>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</si>
  <si>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</si>
  <si>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</si>
  <si>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</si>
  <si>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</si>
  <si>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</si>
  <si>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</si>
  <si>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</si>
  <si>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</si>
  <si>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</si>
  <si>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</si>
  <si>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</si>
  <si>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</si>
  <si>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</si>
  <si>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</si>
  <si>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</si>
  <si>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</si>
  <si>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</si>
  <si>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</si>
  <si>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</si>
  <si>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</si>
  <si>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</si>
  <si>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</si>
  <si>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</si>
  <si>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</si>
  <si>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</si>
  <si>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</si>
  <si>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</si>
  <si>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</si>
  <si>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</si>
  <si>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</si>
  <si>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</si>
  <si>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</si>
  <si>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</si>
  <si>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</si>
  <si>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</si>
  <si>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</si>
  <si>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</si>
  <si>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</si>
  <si>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</si>
  <si>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</si>
  <si>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</si>
  <si>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</si>
  <si>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</si>
  <si>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</si>
  <si>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</si>
  <si>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</si>
  <si>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</si>
  <si>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</si>
  <si>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</si>
  <si>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</si>
  <si>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</si>
  <si>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</si>
  <si>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</si>
  <si>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</si>
  <si>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</si>
  <si>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</si>
  <si>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</si>
  <si>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</si>
  <si>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</si>
  <si>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</si>
  <si>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</si>
  <si>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</si>
  <si>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</si>
  <si>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</si>
  <si>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</si>
  <si>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</si>
  <si>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</si>
  <si>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</si>
  <si>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</si>
  <si>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</si>
  <si>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</si>
  <si>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</si>
  <si>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</si>
  <si>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</si>
  <si>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</si>
  <si>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</si>
  <si>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</si>
  <si>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</si>
  <si>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</si>
  <si>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</si>
  <si>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</si>
  <si>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</si>
  <si>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</si>
  <si>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</si>
  <si>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</si>
  <si>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</si>
  <si>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</si>
  <si>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</si>
  <si>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</si>
  <si>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</si>
  <si>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</si>
  <si>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</si>
  <si>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</si>
  <si>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</si>
  <si>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</si>
  <si>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</si>
  <si>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</si>
  <si>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</si>
  <si>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</si>
  <si>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</si>
  <si>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</si>
  <si>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</si>
  <si>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</si>
  <si>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</si>
  <si>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</si>
  <si>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</si>
  <si>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</si>
  <si>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</si>
  <si>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</si>
  <si>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</si>
  <si>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</si>
  <si>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</si>
  <si>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</si>
  <si>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</si>
  <si>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</si>
  <si>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</si>
  <si>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</si>
  <si>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</si>
  <si>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</si>
  <si>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</si>
  <si>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</si>
  <si>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</si>
  <si>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</si>
  <si>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</si>
  <si>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</si>
  <si>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</si>
  <si>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</si>
  <si>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</si>
  <si>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</si>
  <si>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</si>
  <si>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</si>
  <si>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</si>
  <si>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</si>
  <si>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</si>
  <si>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</si>
  <si>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</si>
  <si>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</si>
  <si>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</si>
  <si>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</si>
  <si>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</si>
  <si>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</si>
  <si>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</si>
  <si>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</si>
  <si>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</si>
  <si>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</si>
  <si>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</si>
  <si>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</si>
  <si>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</si>
  <si>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</si>
  <si>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</si>
  <si>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</si>
  <si>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</si>
  <si>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</si>
  <si>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</si>
  <si>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</si>
  <si>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</si>
  <si>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</si>
  <si>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</si>
  <si>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</si>
  <si>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</si>
  <si>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</si>
  <si>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</si>
  <si>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</si>
  <si>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</si>
  <si>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</si>
  <si>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</si>
  <si>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</si>
  <si>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</si>
  <si>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</si>
  <si>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</si>
  <si>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</si>
  <si>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</si>
  <si>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</si>
  <si>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</si>
  <si>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</si>
  <si>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</si>
  <si>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</si>
  <si>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</si>
  <si>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</si>
  <si>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</si>
  <si>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</si>
  <si>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</si>
  <si>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</si>
  <si>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</si>
  <si>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</si>
  <si>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</si>
  <si>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</si>
  <si>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</si>
  <si>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</si>
  <si>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</si>
  <si>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</si>
  <si>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</si>
  <si>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</si>
  <si>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</si>
  <si>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</si>
  <si>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</si>
  <si>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</si>
  <si>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</si>
  <si>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</si>
  <si>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</si>
  <si>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</si>
  <si>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</si>
  <si>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</si>
  <si>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</si>
  <si>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</si>
  <si>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</si>
  <si>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</si>
  <si>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</si>
  <si>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</si>
  <si>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</si>
  <si>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</si>
  <si>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</si>
  <si>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</si>
  <si>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</si>
  <si>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</si>
  <si>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</si>
  <si>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</si>
  <si>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</si>
  <si>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</si>
  <si>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</si>
  <si>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</si>
  <si>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</si>
  <si>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</si>
  <si>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</si>
  <si>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</si>
  <si>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</si>
  <si>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</si>
  <si>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</si>
  <si>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</si>
  <si>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</si>
  <si>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</si>
  <si>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</si>
  <si>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</si>
  <si>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</si>
  <si>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</si>
  <si>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</si>
  <si>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</si>
  <si>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</si>
  <si>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</si>
  <si>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</si>
  <si>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</si>
  <si>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</si>
  <si>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</si>
  <si>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</si>
  <si>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</si>
  <si>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</si>
  <si>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</si>
  <si>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</si>
  <si>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</si>
  <si>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</si>
  <si>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</si>
  <si>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</si>
  <si>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</si>
  <si>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</si>
  <si>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</si>
  <si>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</si>
  <si>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</si>
  <si>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</si>
  <si>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</si>
  <si>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</si>
  <si>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</si>
  <si>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</si>
  <si>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</si>
  <si>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</si>
  <si>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</si>
  <si>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</si>
  <si>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</si>
  <si>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</si>
  <si>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</si>
  <si>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</si>
  <si>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</si>
  <si>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</si>
  <si>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</si>
  <si>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</si>
  <si>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</si>
  <si>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</si>
  <si>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</si>
  <si>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</si>
  <si>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</si>
  <si>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</si>
  <si>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</si>
  <si>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</si>
  <si>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</si>
  <si>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</si>
  <si>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</si>
  <si>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</si>
  <si>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</si>
  <si>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</si>
  <si>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</si>
  <si>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</si>
  <si>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</si>
  <si>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</si>
  <si>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</si>
  <si>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</si>
  <si>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</si>
  <si>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</si>
  <si>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</si>
  <si>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</si>
  <si>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</si>
  <si>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</si>
  <si>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</si>
  <si>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</si>
  <si>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</si>
  <si>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</si>
  <si>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</si>
  <si>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</si>
  <si>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</si>
  <si>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</si>
  <si>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</si>
  <si>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</si>
  <si>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</si>
  <si>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</si>
  <si>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</si>
  <si>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</si>
  <si>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</si>
  <si>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</si>
  <si>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</si>
  <si>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</si>
  <si>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</si>
  <si>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</si>
  <si>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</si>
  <si>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</si>
  <si>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</si>
  <si>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</si>
  <si>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</si>
  <si>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</si>
  <si>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</si>
  <si>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</si>
  <si>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</si>
  <si>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</si>
  <si>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</si>
  <si>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</si>
  <si>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</si>
  <si>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</si>
  <si>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</si>
  <si>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</si>
  <si>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</si>
  <si>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</si>
  <si>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</si>
  <si>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</si>
  <si>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</si>
  <si>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</si>
  <si>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</si>
  <si>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</si>
  <si>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</si>
  <si>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</si>
  <si>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</si>
  <si>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</si>
  <si>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</si>
  <si>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</si>
  <si>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</si>
  <si>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</si>
  <si>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</si>
  <si>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</si>
  <si>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</si>
  <si>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</si>
  <si>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</si>
  <si>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</si>
  <si>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</si>
  <si>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</si>
  <si>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</si>
  <si>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</si>
  <si>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</si>
  <si>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</si>
  <si>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</si>
  <si>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</si>
  <si>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</si>
  <si>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</si>
  <si>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</si>
  <si>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</si>
  <si>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</si>
  <si>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</si>
  <si>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</si>
  <si>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</si>
  <si>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</si>
  <si>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</si>
  <si>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</si>
  <si>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</si>
  <si>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</si>
  <si>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</si>
  <si>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</si>
  <si>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</si>
  <si>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</si>
  <si>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</si>
  <si>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</si>
  <si>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</si>
  <si>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</si>
  <si>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</si>
  <si>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</si>
  <si>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</si>
  <si>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</si>
  <si>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</si>
  <si>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</si>
  <si>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</si>
  <si>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</si>
  <si>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</si>
  <si>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</si>
  <si>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</si>
  <si>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</si>
  <si>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</si>
  <si>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</si>
  <si>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</si>
  <si>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</si>
  <si>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</si>
  <si>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</si>
  <si>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</si>
  <si>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</si>
  <si>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</si>
  <si>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</si>
  <si>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</si>
  <si>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</si>
  <si>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</si>
  <si>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</si>
  <si>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</si>
  <si>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</si>
  <si>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</si>
  <si>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</si>
  <si>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</si>
  <si>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</si>
  <si>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</si>
  <si>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</si>
  <si>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</si>
  <si>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</si>
  <si>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</si>
  <si>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</si>
  <si>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</si>
  <si>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</si>
  <si>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</si>
  <si>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</si>
  <si>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</si>
  <si>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</si>
  <si>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</si>
  <si>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</si>
  <si>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</si>
  <si>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</si>
  <si>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</si>
  <si>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</si>
  <si>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</si>
  <si>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</si>
  <si>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</si>
  <si>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</si>
  <si>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</si>
  <si>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</si>
  <si>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</si>
  <si>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</si>
  <si>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</si>
  <si>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</si>
  <si>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</si>
  <si>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</si>
  <si>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</si>
  <si>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</si>
  <si>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</si>
  <si>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</si>
  <si>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</si>
  <si>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</si>
  <si>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</si>
  <si>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</si>
  <si>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</si>
  <si>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</si>
  <si>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</si>
  <si>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</si>
  <si>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</si>
  <si>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</si>
  <si>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</si>
  <si>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</si>
  <si>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</si>
  <si>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</si>
  <si>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</si>
  <si>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</si>
  <si>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</si>
  <si>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</si>
  <si>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</si>
  <si>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</si>
  <si>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</si>
  <si>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</si>
  <si>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</si>
  <si>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</si>
  <si>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</si>
  <si>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</si>
  <si>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</si>
  <si>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</si>
  <si>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</si>
  <si>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</si>
  <si>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</si>
  <si>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</si>
  <si>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</si>
  <si>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</si>
  <si>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</si>
  <si>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</si>
  <si>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</si>
  <si>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</si>
  <si>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</si>
  <si>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</si>
  <si>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</si>
  <si>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</si>
  <si>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</si>
  <si>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</si>
  <si>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</si>
  <si>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</si>
  <si>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</si>
  <si>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</si>
  <si>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</si>
  <si>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</si>
  <si>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</si>
  <si>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</si>
  <si>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</si>
  <si>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</si>
  <si>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</si>
  <si>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</si>
  <si>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</si>
  <si>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</si>
  <si>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</si>
  <si>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</si>
  <si>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</si>
  <si>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</si>
  <si>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</si>
  <si>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</si>
  <si>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</si>
  <si>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</si>
  <si>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</si>
  <si>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</si>
  <si>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</si>
  <si>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</si>
  <si>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</si>
  <si>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</si>
  <si>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</si>
  <si>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</si>
  <si>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</si>
  <si>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</si>
  <si>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</si>
  <si>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</si>
  <si>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</si>
  <si>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</si>
  <si>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</si>
  <si>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</si>
  <si>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</si>
  <si>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</si>
  <si>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</si>
  <si>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</si>
  <si>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</si>
  <si>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</si>
  <si>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</si>
  <si>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</si>
  <si>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</si>
  <si>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</si>
  <si>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</si>
  <si>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</si>
  <si>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</si>
  <si>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</si>
  <si>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</si>
  <si>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</si>
  <si>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</si>
  <si>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</si>
  <si>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</si>
  <si>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</si>
  <si>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</si>
  <si>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</si>
  <si>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</si>
  <si>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</si>
  <si>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</si>
  <si>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</si>
  <si>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</si>
  <si>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</si>
  <si>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</si>
  <si>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</si>
  <si>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</si>
  <si>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</si>
  <si>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</si>
  <si>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</si>
  <si>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</si>
  <si>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</si>
  <si>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</si>
  <si>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</si>
  <si>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</si>
  <si>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</si>
  <si>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</si>
  <si>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</si>
  <si>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</si>
  <si>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</si>
  <si>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</si>
  <si>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</si>
  <si>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</si>
  <si>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</si>
  <si>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</si>
  <si>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</si>
  <si>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</si>
  <si>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</si>
  <si>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</si>
  <si>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</si>
  <si>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</si>
  <si>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</si>
  <si>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</si>
  <si>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</si>
  <si>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</si>
  <si>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</si>
  <si>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</si>
  <si>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</si>
  <si>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</si>
  <si>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</si>
  <si>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</si>
  <si>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</si>
  <si>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</si>
  <si>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</si>
  <si>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</si>
  <si>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</si>
  <si>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</si>
  <si>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</si>
  <si>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</si>
  <si>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</si>
  <si>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</si>
  <si>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</si>
  <si>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</si>
  <si>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</si>
  <si>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</si>
  <si>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</si>
  <si>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</si>
  <si>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</si>
  <si>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</si>
  <si>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</si>
  <si>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</si>
  <si>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</si>
  <si>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</si>
  <si>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</si>
  <si>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</si>
  <si>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</si>
  <si>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</si>
  <si>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</si>
  <si>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</si>
  <si>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</si>
  <si>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</si>
  <si>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</si>
  <si>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</si>
  <si>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</si>
  <si>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</si>
  <si>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</si>
  <si>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</si>
  <si>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</si>
  <si>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</si>
  <si>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</si>
  <si>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</si>
  <si>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</si>
  <si>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</si>
  <si>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</si>
  <si>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</si>
  <si>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</si>
  <si>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</si>
  <si>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</si>
  <si>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</si>
  <si>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</si>
  <si>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</si>
  <si>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</si>
  <si>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</si>
  <si>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</si>
  <si>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</si>
  <si>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</si>
  <si>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</si>
  <si>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</si>
  <si>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</si>
  <si>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</si>
  <si>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</si>
  <si>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</si>
  <si>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</si>
  <si>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</si>
  <si>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</si>
  <si>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</si>
  <si>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</si>
  <si>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</si>
  <si>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</si>
  <si>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</si>
  <si>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</si>
  <si>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</si>
  <si>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</si>
  <si>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</si>
  <si>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</si>
  <si>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</si>
  <si>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</si>
  <si>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</si>
  <si>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</si>
  <si>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</si>
  <si>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</si>
  <si>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</si>
  <si>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</si>
  <si>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</si>
  <si>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</si>
  <si>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</si>
  <si>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</si>
  <si>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</si>
  <si>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</si>
  <si>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</si>
  <si>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</si>
  <si>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</si>
  <si>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</si>
  <si>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</si>
  <si>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</si>
  <si>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</si>
  <si>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</si>
  <si>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</si>
  <si>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</si>
  <si>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</si>
  <si>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</si>
  <si>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</si>
  <si>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</si>
  <si>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</si>
  <si>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</si>
  <si>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</si>
  <si>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</si>
  <si>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</si>
  <si>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</si>
  <si>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</si>
  <si>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</si>
  <si>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</si>
  <si>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</si>
  <si>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</si>
  <si>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</si>
  <si>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</si>
  <si>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</si>
  <si>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</si>
  <si>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</si>
  <si>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</si>
  <si>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</si>
  <si>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</si>
  <si>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</si>
  <si>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</si>
  <si>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</si>
  <si>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</si>
  <si>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</si>
  <si>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</si>
  <si>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</si>
  <si>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</si>
  <si>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</si>
  <si>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</si>
  <si>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</si>
  <si>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</si>
  <si>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</si>
  <si>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</si>
  <si>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</si>
  <si>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</si>
  <si>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</si>
  <si>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</si>
  <si>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</si>
  <si>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</si>
  <si>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</si>
  <si>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</si>
  <si>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</si>
  <si>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</si>
  <si>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</si>
  <si>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</si>
  <si>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</si>
  <si>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</si>
  <si>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</si>
  <si>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</si>
  <si>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</si>
  <si>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</si>
  <si>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</si>
  <si>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</si>
  <si>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</si>
  <si>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</si>
  <si>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</si>
  <si>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</si>
  <si>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</si>
  <si>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</si>
  <si>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</si>
  <si>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</si>
  <si>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</si>
  <si>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</si>
  <si>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</si>
  <si>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</si>
  <si>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</si>
  <si>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</si>
  <si>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</si>
  <si>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</si>
  <si>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</si>
  <si>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</si>
  <si>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</si>
  <si>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</si>
  <si>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</si>
  <si>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</si>
  <si>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</si>
  <si>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</si>
  <si>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</si>
  <si>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</si>
  <si>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</si>
  <si>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</si>
  <si>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</si>
  <si>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</si>
  <si>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</si>
  <si>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</si>
  <si>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</si>
  <si>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</si>
  <si>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</si>
  <si>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</si>
  <si>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</si>
  <si>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</si>
  <si>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</si>
  <si>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</si>
  <si>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</si>
  <si>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</si>
  <si>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</si>
  <si>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</si>
  <si>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</si>
  <si>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</si>
  <si>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</si>
  <si>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</si>
  <si>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</si>
  <si>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</si>
  <si>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</si>
  <si>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</si>
  <si>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</si>
  <si>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</si>
  <si>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</si>
  <si>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</si>
  <si>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</si>
  <si>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</si>
  <si>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</si>
  <si>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</si>
  <si>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</si>
  <si>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</si>
  <si>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</si>
  <si>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</si>
  <si>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</si>
  <si>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</si>
  <si>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</si>
  <si>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</si>
  <si>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</si>
  <si>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</si>
  <si>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</si>
  <si>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</si>
  <si>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</si>
  <si>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</si>
  <si>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</si>
  <si>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</si>
  <si>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</si>
  <si>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</si>
  <si>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</si>
  <si>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</si>
  <si>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</si>
  <si>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</si>
  <si>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</si>
  <si>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</si>
  <si>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</si>
  <si>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</si>
  <si>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</si>
  <si>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</si>
  <si>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</si>
  <si>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</si>
  <si>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</si>
  <si>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</si>
  <si>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</si>
  <si>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</si>
  <si>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</si>
  <si>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</si>
  <si>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</si>
  <si>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</si>
  <si>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</si>
  <si>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</si>
  <si>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</si>
  <si>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</si>
  <si>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</si>
  <si>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</si>
  <si>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</si>
  <si>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</si>
  <si>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</si>
  <si>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</si>
  <si>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</si>
  <si>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</si>
  <si>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</si>
  <si>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</si>
  <si>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</si>
  <si>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</si>
  <si>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</si>
  <si>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</si>
  <si>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</si>
  <si>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</si>
  <si>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</si>
  <si>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</si>
  <si>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</si>
  <si>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</si>
  <si>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</si>
  <si>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</si>
  <si>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</si>
  <si>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</si>
  <si>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</si>
  <si>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</si>
  <si>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</si>
  <si>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</si>
  <si>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</si>
  <si>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</si>
  <si>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</si>
  <si>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</si>
  <si>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</si>
  <si>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</si>
  <si>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</si>
  <si>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</si>
  <si>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</si>
  <si>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</si>
  <si>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</si>
  <si>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</si>
  <si>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</si>
  <si>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</si>
  <si>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</si>
  <si>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</si>
  <si>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</si>
  <si>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</si>
  <si>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</si>
  <si>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</si>
  <si>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</si>
  <si>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</si>
  <si>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</si>
  <si>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</si>
  <si>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</si>
  <si>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</si>
  <si>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</si>
  <si>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</si>
  <si>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</si>
  <si>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</si>
  <si>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</si>
  <si>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</si>
  <si>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</si>
  <si>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</si>
  <si>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</si>
  <si>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</si>
  <si>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</si>
  <si>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</si>
  <si>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</si>
  <si>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</si>
  <si>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</si>
  <si>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</si>
  <si>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</si>
  <si>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</si>
  <si>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</si>
  <si>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</si>
  <si>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</si>
  <si>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</si>
  <si>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</si>
  <si>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</si>
  <si>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</si>
  <si>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</si>
  <si>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</si>
  <si>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</si>
  <si>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</si>
  <si>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</si>
  <si>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</si>
  <si>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</si>
  <si>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</si>
  <si>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</si>
  <si>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</si>
  <si>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</si>
  <si>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</si>
  <si>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</si>
  <si>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</si>
  <si>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</si>
  <si>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</si>
  <si>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</si>
  <si>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</si>
  <si>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</si>
  <si>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</si>
  <si>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</si>
  <si>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</si>
  <si>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</si>
  <si>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</si>
  <si>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</si>
  <si>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</si>
  <si>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</si>
  <si>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</si>
  <si>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</si>
  <si>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</si>
  <si>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</si>
  <si>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</si>
  <si>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</si>
  <si>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</si>
  <si>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</si>
  <si>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</si>
  <si>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</si>
  <si>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</si>
  <si>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</si>
  <si>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</si>
  <si>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</si>
  <si>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</si>
  <si>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</si>
  <si>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</si>
  <si>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</si>
  <si>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</si>
  <si>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</si>
  <si>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</si>
  <si>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</si>
  <si>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</si>
  <si>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</si>
  <si>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</si>
  <si>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</si>
  <si>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</si>
  <si>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</si>
  <si>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</si>
  <si>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</si>
  <si>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</si>
  <si>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</si>
  <si>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</si>
  <si>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</si>
  <si>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</si>
  <si>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</si>
  <si>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</si>
  <si>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</si>
  <si>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</si>
  <si>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</si>
  <si>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</si>
  <si>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</si>
  <si>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</si>
  <si>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</si>
  <si>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</si>
  <si>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</si>
  <si>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</si>
  <si>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</si>
  <si>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</si>
  <si>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</si>
  <si>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</si>
  <si>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</si>
  <si>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</si>
  <si>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</si>
  <si>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</si>
  <si>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</si>
  <si>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</si>
  <si>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</si>
  <si>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</si>
  <si>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</si>
  <si>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</si>
  <si>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</si>
  <si>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</si>
  <si>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</si>
  <si>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</si>
  <si>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</si>
  <si>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</si>
  <si>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</si>
  <si>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</si>
  <si>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</si>
  <si>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</si>
  <si>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</si>
  <si>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</si>
  <si>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</si>
  <si>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</si>
  <si>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</si>
  <si>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</si>
  <si>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</si>
  <si>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</si>
  <si>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</si>
  <si>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</si>
  <si>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</si>
  <si>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</si>
  <si>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</si>
  <si>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</si>
  <si>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</si>
  <si>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</si>
  <si>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</si>
  <si>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</si>
  <si>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</si>
  <si>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</si>
  <si>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</si>
  <si>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</si>
  <si>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</si>
  <si>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</si>
  <si>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</si>
  <si>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</si>
  <si>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</si>
  <si>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</si>
  <si>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</si>
  <si>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</si>
  <si>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</si>
  <si>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</si>
  <si>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</si>
  <si>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</si>
  <si>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</si>
  <si>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</si>
  <si>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</si>
  <si>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</si>
  <si>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</si>
  <si>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</si>
  <si>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</si>
  <si>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</si>
  <si>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</si>
  <si>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</si>
  <si>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</si>
  <si>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</si>
  <si>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</si>
  <si>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</si>
  <si>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</si>
  <si>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</si>
  <si>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</si>
  <si>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</si>
  <si>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</si>
  <si>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</si>
  <si>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</si>
  <si>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</si>
  <si>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</si>
  <si>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</si>
  <si>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</si>
  <si>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</si>
  <si>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</si>
  <si>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</si>
  <si>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</si>
  <si>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</si>
  <si>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</si>
  <si>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</si>
  <si>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</si>
  <si>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</si>
  <si>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</si>
  <si>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</si>
  <si>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</si>
  <si>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</si>
  <si>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</si>
  <si>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</si>
  <si>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</si>
  <si>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</si>
  <si>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</si>
  <si>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</si>
  <si>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</si>
  <si>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</si>
  <si>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</si>
  <si>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</si>
  <si>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</si>
  <si>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</si>
  <si>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</si>
  <si>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</si>
  <si>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</si>
  <si>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</si>
  <si>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</si>
  <si>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</si>
  <si>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</si>
  <si>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</si>
  <si>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</si>
  <si>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</si>
  <si>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</si>
  <si>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</si>
  <si>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</si>
  <si>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</si>
  <si>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</si>
  <si>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</si>
  <si>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</si>
  <si>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</si>
  <si>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</si>
  <si>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</si>
  <si>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</si>
  <si>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</si>
  <si>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</si>
  <si>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</si>
  <si>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</si>
  <si>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</si>
  <si>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</si>
  <si>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</si>
  <si>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</si>
  <si>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</si>
  <si>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</si>
  <si>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</si>
  <si>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</si>
  <si>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</si>
  <si>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</si>
  <si>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</si>
  <si>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</si>
  <si>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</si>
  <si>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</si>
  <si>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</si>
  <si>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</si>
  <si>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</si>
  <si>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</si>
  <si>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</si>
  <si>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</si>
  <si>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</si>
  <si>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</si>
  <si>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</si>
  <si>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</si>
  <si>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</si>
  <si>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</si>
  <si>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</si>
  <si>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</si>
  <si>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</si>
  <si>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</si>
  <si>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</si>
  <si>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</si>
  <si>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</si>
  <si>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</si>
  <si>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</si>
  <si>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</si>
  <si>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</si>
  <si>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</si>
  <si>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</si>
  <si>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</si>
  <si>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</si>
  <si>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</si>
  <si>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</si>
  <si>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</si>
  <si>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</si>
  <si>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</si>
  <si>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</si>
  <si>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</si>
  <si>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</si>
  <si>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</si>
  <si>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</si>
  <si>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</si>
  <si>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</si>
  <si>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</si>
  <si>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</si>
  <si>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</si>
  <si>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</si>
  <si>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</si>
  <si>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</si>
  <si>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</si>
  <si>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</si>
  <si>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</si>
  <si>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</si>
  <si>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</si>
  <si>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</si>
  <si>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</si>
  <si>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</si>
  <si>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</si>
  <si>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</si>
  <si>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</si>
  <si>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</si>
  <si>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</si>
  <si>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</si>
  <si>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</si>
  <si>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</si>
  <si>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</si>
  <si>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</si>
  <si>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</si>
  <si>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</si>
  <si>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</si>
  <si>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</si>
  <si>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</si>
  <si>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</si>
  <si>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</si>
  <si>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</si>
  <si>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</si>
  <si>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</si>
  <si>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</si>
  <si>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</si>
  <si>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</si>
  <si>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</si>
  <si>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</si>
  <si>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</si>
  <si>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</si>
  <si>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</si>
  <si>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</si>
  <si>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</si>
  <si>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</si>
  <si>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</si>
  <si>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</si>
  <si>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</si>
  <si>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</si>
  <si>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</si>
  <si>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</si>
  <si>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</si>
  <si>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</si>
  <si>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06.01.2025</t>
  </si>
  <si>
    <t>25.02</t>
  </si>
  <si>
    <t>objednavkySK@demos-trade.com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</si>
</sst>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8" formatCode="#,##0.0"/>
    <numFmt numFmtId="169" formatCode="0.0"/>
    <numFmt numFmtId="170" formatCode="_-* #,##0.00\ [$zł-415]_-;\-* #,##0.00\ [$zł-415]_-;_-* &quot;-&quot;??\ [$zł-415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9" fontId="38" fillId="0" borderId="46" xfId="0" applyNumberFormat="1" applyFont="1" applyBorder="1" applyAlignment="1" applyProtection="1">
      <alignment horizontal="center"/>
      <protection hidden="1"/>
    </xf>
    <xf numFmtId="169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9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9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0" fillId="0" borderId="27" xfId="0" applyNumberFormat="1" applyBorder="1"/>
    <xf numFmtId="2" fontId="0" fillId="0" borderId="21" xfId="0" applyNumberFormat="1" applyBorder="1"/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0" fillId="0" borderId="63" xfId="0" applyBorder="1"/>
    <xf numFmtId="0" fontId="0" fillId="0" borderId="41" xfId="0" applyBorder="1"/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165" fontId="0" fillId="0" borderId="0" xfId="0" applyNumberForma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8" xfId="0" applyBorder="1"/>
    <xf numFmtId="0" fontId="0" fillId="0" borderId="40" xfId="0" applyBorder="1"/>
    <xf numFmtId="0" fontId="0" fillId="0" borderId="21" xfId="0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9" fontId="38" fillId="0" borderId="46" xfId="0" applyNumberFormat="1" applyFont="1" applyBorder="1" applyAlignment="1" applyProtection="1">
      <alignment horizontal="right"/>
      <protection hidden="1"/>
    </xf>
    <xf numFmtId="0" fontId="38" fillId="0" borderId="46" xfId="0" applyFont="1" applyBorder="1" applyAlignment="1" applyProtection="1">
      <alignment horizontal="left"/>
      <protection hidden="1"/>
    </xf>
    <xf numFmtId="0" fontId="38" fillId="0" borderId="0" xfId="0" applyFont="1" applyAlignment="1">
      <alignment horizontal="left"/>
    </xf>
    <xf numFmtId="0" fontId="38" fillId="0" borderId="0" xfId="0" applyFont="1"/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4" fontId="38" fillId="0" borderId="55" xfId="1" applyNumberFormat="1" applyFont="1" applyFill="1" applyBorder="1" applyAlignment="1" applyProtection="1">
      <protection hidden="1"/>
    </xf>
    <xf numFmtId="169" fontId="38" fillId="0" borderId="57" xfId="0" applyNumberFormat="1" applyFont="1" applyBorder="1" applyProtection="1">
      <protection hidden="1"/>
    </xf>
    <xf numFmtId="169" fontId="38" fillId="0" borderId="46" xfId="0" applyNumberFormat="1" applyFont="1" applyBorder="1" applyProtection="1"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169" fontId="38" fillId="0" borderId="55" xfId="0" applyNumberFormat="1" applyFont="1" applyBorder="1" applyProtection="1"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0" fontId="38" fillId="0" borderId="55" xfId="0" applyFont="1" applyBorder="1" applyProtection="1"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6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8" fontId="38" fillId="0" borderId="57" xfId="1" applyNumberFormat="1" applyFont="1" applyFill="1" applyBorder="1" applyAlignment="1" applyProtection="1">
      <protection hidden="1"/>
    </xf>
    <xf numFmtId="168" fontId="38" fillId="0" borderId="57" xfId="1" applyNumberFormat="1" applyFont="1" applyBorder="1" applyAlignment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  <xf numFmtId="170" fontId="52" fillId="16" borderId="43" xfId="13" applyNumberFormat="1" applyFont="1" applyFill="1" applyBorder="1" applyAlignment="1" applyProtection="1">
      <alignment horizontal="right" vertical="center"/>
      <protection hidden="1"/>
    </xf>
    <xf numFmtId="170" fontId="52" fillId="16" borderId="51" xfId="13" applyNumberFormat="1" applyFont="1" applyFill="1" applyBorder="1" applyAlignment="1" applyProtection="1">
      <alignment horizontal="right" vertical="center"/>
      <protection hidden="1"/>
    </xf>
    <xf numFmtId="170" fontId="52" fillId="16" borderId="52" xfId="13" applyNumberFormat="1" applyFont="1" applyFill="1" applyBorder="1" applyAlignment="1" applyProtection="1">
      <alignment horizontal="right" vertical="center"/>
      <protection hidden="1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1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bjednavkySK@demos-trad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423"/>
      <c r="E1" s="423"/>
      <c r="F1" s="423"/>
      <c r="G1" s="423"/>
      <c r="H1" s="423"/>
      <c r="I1" s="423"/>
      <c r="J1" s="423"/>
      <c r="K1" s="423"/>
    </row>
    <row r="2" spans="1:11" ht="12" customHeight="1" x14ac:dyDescent="0.2">
      <c r="D2" s="423"/>
      <c r="E2" s="423"/>
      <c r="F2" s="423"/>
      <c r="G2" s="423"/>
      <c r="H2" s="423"/>
      <c r="I2" s="423"/>
      <c r="J2" s="423"/>
      <c r="K2" s="423"/>
    </row>
    <row r="3" spans="1:11" x14ac:dyDescent="0.2">
      <c r="D3" s="423"/>
      <c r="E3" s="423"/>
      <c r="F3" s="423"/>
      <c r="G3" s="423"/>
      <c r="H3" s="423"/>
      <c r="I3" s="423"/>
      <c r="J3" s="423"/>
      <c r="K3" s="423"/>
    </row>
    <row r="4" spans="1:11" x14ac:dyDescent="0.2">
      <c r="D4" s="423"/>
      <c r="E4" s="423"/>
      <c r="F4" s="423"/>
      <c r="G4" s="423"/>
      <c r="H4" s="423"/>
      <c r="I4" s="423"/>
      <c r="J4" s="423"/>
      <c r="K4" s="423"/>
    </row>
    <row r="5" spans="1:11" x14ac:dyDescent="0.2">
      <c r="D5" s="423"/>
      <c r="E5" s="423"/>
      <c r="F5" s="423"/>
      <c r="G5" s="423"/>
      <c r="H5" s="423"/>
      <c r="I5" s="423"/>
      <c r="J5" s="423"/>
      <c r="K5" s="423"/>
    </row>
    <row r="6" spans="1:11" x14ac:dyDescent="0.2">
      <c r="D6" s="423"/>
      <c r="E6" s="423"/>
      <c r="F6" s="423"/>
      <c r="G6" s="423"/>
      <c r="H6" s="423"/>
      <c r="I6" s="423"/>
      <c r="J6" s="423"/>
      <c r="K6" s="423"/>
    </row>
    <row r="7" spans="1:11" ht="20.100000000000001" customHeight="1" x14ac:dyDescent="0.25">
      <c r="A7" s="1" t="s">
        <v>70</v>
      </c>
      <c r="B7" s="379" t="s">
        <v>435</v>
      </c>
      <c r="C7" s="380"/>
      <c r="D7" s="380"/>
      <c r="H7" s="380"/>
    </row>
    <row r="8" spans="1:11" ht="3" customHeight="1" x14ac:dyDescent="0.25">
      <c r="B8" s="2"/>
      <c r="D8" s="380"/>
      <c r="H8" s="380"/>
    </row>
    <row r="9" spans="1:11" ht="20.100000000000001" customHeight="1" x14ac:dyDescent="0.25">
      <c r="A9" s="1" t="s">
        <v>67</v>
      </c>
      <c r="B9" s="388">
        <f>'Objednávka žaluzií'!N9</f>
        <v>36</v>
      </c>
      <c r="C9" s="389"/>
      <c r="D9" s="380"/>
      <c r="H9" s="380"/>
    </row>
    <row r="10" spans="1:11" ht="3" customHeight="1" x14ac:dyDescent="0.25">
      <c r="A10" s="1"/>
    </row>
    <row r="11" spans="1:11" ht="18" x14ac:dyDescent="0.25">
      <c r="A11" s="1" t="s">
        <v>68</v>
      </c>
      <c r="B11" s="388">
        <f>'Objednávka žaluzií'!N11</f>
        <v>36</v>
      </c>
      <c r="C11" s="389"/>
    </row>
    <row r="12" spans="1:11" ht="3" customHeight="1" x14ac:dyDescent="0.25">
      <c r="A12" s="1"/>
    </row>
    <row r="13" spans="1:11" ht="18" x14ac:dyDescent="0.25">
      <c r="A13" s="1" t="s">
        <v>69</v>
      </c>
      <c r="B13" s="388">
        <f>'Objednávka žaluzií'!T13</f>
        <v>0</v>
      </c>
      <c r="C13" s="389"/>
    </row>
    <row r="14" spans="1:11" ht="3" customHeight="1" x14ac:dyDescent="0.2"/>
    <row r="15" spans="1:11" ht="18" x14ac:dyDescent="0.25">
      <c r="A15" s="1" t="s">
        <v>71</v>
      </c>
      <c r="B15" s="381"/>
      <c r="C15" s="380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Pionowy (z góry na dół)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390" t="s">
        <v>87</v>
      </c>
      <c r="B21" s="391"/>
      <c r="C21" s="392"/>
      <c r="D21" s="400" t="s">
        <v>88</v>
      </c>
      <c r="E21" s="383"/>
      <c r="F21" s="400" t="s">
        <v>89</v>
      </c>
      <c r="G21" s="383"/>
      <c r="H21" s="408" t="s">
        <v>4</v>
      </c>
      <c r="I21" s="409"/>
      <c r="J21" s="424" t="s">
        <v>3</v>
      </c>
      <c r="K21" s="422"/>
    </row>
    <row r="22" spans="1:11" ht="12.75" customHeight="1" thickBot="1" x14ac:dyDescent="0.25">
      <c r="A22" s="393"/>
      <c r="B22" s="394"/>
      <c r="C22" s="395"/>
      <c r="D22" s="384"/>
      <c r="E22" s="385"/>
      <c r="F22" s="384"/>
      <c r="G22" s="385"/>
      <c r="H22" s="410"/>
      <c r="I22" s="411"/>
      <c r="J22" s="424"/>
      <c r="K22" s="422"/>
    </row>
    <row r="23" spans="1:11" ht="13.5" thickBot="1" x14ac:dyDescent="0.25">
      <c r="A23" s="396" t="s">
        <v>7</v>
      </c>
      <c r="B23" s="397"/>
      <c r="C23" s="397"/>
      <c r="D23" s="386">
        <f>IF(výpočty!$U$14=1,Kalkulace!D10,Kalkulace!D56)</f>
        <v>0</v>
      </c>
      <c r="E23" s="387"/>
      <c r="F23" s="386">
        <f>IF(výpočty!$U$14=1,Kalkulace!E10,Kalkulace!E56)</f>
        <v>0</v>
      </c>
      <c r="G23" s="387"/>
      <c r="H23" s="386">
        <f>IF(výpočty!$U$14=1,Kalkulace!F10,Kalkulace!F56)</f>
        <v>0</v>
      </c>
      <c r="I23" s="387"/>
      <c r="J23" s="386">
        <f>IF(výpočty!$U$14=1,Kalkulace!G10,Kalkulace!G56)</f>
        <v>0</v>
      </c>
      <c r="K23" s="422"/>
    </row>
    <row r="24" spans="1:11" ht="13.5" thickBot="1" x14ac:dyDescent="0.25">
      <c r="A24" s="396" t="s">
        <v>8</v>
      </c>
      <c r="B24" s="397"/>
      <c r="C24" s="397"/>
      <c r="D24" s="386">
        <f>IF(výpočty!$U$14=1,Kalkulace!D11,Kalkulace!D57)</f>
        <v>6.1848480000000006</v>
      </c>
      <c r="E24" s="387"/>
      <c r="F24" s="386">
        <f>IF(výpočty!$U$14=1,Kalkulace!E11,Kalkulace!E57)</f>
        <v>6.1848480000000006</v>
      </c>
      <c r="G24" s="387"/>
      <c r="H24" s="386" t="e">
        <f>IF(výpočty!$U$14=1,Kalkulace!F11,Kalkulace!F57)</f>
        <v>#N/A</v>
      </c>
      <c r="I24" s="387"/>
      <c r="J24" s="386">
        <f>IF(výpočty!$U$14=1,Kalkulace!G11,Kalkulace!G57)</f>
        <v>6.1848480000000006</v>
      </c>
      <c r="K24" s="422"/>
    </row>
    <row r="25" spans="1:11" ht="13.5" thickBot="1" x14ac:dyDescent="0.25">
      <c r="A25" s="396" t="s">
        <v>81</v>
      </c>
      <c r="B25" s="397"/>
      <c r="C25" s="397"/>
      <c r="D25" s="386">
        <f>IF(výpočty!$U$14=1,Kalkulace!D12,Kalkulace!D58)</f>
        <v>26.406770999999999</v>
      </c>
      <c r="E25" s="387"/>
      <c r="F25" s="386">
        <f>IF(výpočty!$U$14=1,Kalkulace!E12,Kalkulace!E58)</f>
        <v>26.406770999999999</v>
      </c>
      <c r="G25" s="387"/>
      <c r="H25" s="386" t="e">
        <f>IF(výpočty!$U$14=1,Kalkulace!F12,Kalkulace!F58)</f>
        <v>#N/A</v>
      </c>
      <c r="I25" s="387"/>
      <c r="J25" s="386">
        <f>IF(výpočty!$U$14=1,Kalkulace!G12,Kalkulace!G58)</f>
        <v>26.406770999999999</v>
      </c>
      <c r="K25" s="422"/>
    </row>
    <row r="26" spans="1:11" ht="13.5" thickBot="1" x14ac:dyDescent="0.25">
      <c r="A26" s="420" t="s">
        <v>82</v>
      </c>
      <c r="B26" s="420"/>
      <c r="C26" s="421"/>
      <c r="D26" s="386">
        <f>IF(výpočty!$U$14=1,Kalkulace!D13,Kalkulace!D59)</f>
        <v>74.646879999999996</v>
      </c>
      <c r="E26" s="387"/>
      <c r="F26" s="386">
        <f>IF(výpočty!$U$14=1,Kalkulace!E13,Kalkulace!E59)</f>
        <v>45.276469999999996</v>
      </c>
      <c r="G26" s="387"/>
      <c r="H26" s="386" t="e">
        <f>IF(výpočty!$U$14=1,Kalkulace!F13,Kalkulace!F59)</f>
        <v>#N/A</v>
      </c>
      <c r="I26" s="387"/>
      <c r="J26" s="386">
        <f>IF(výpočty!$U$14=1,Kalkulace!G13,Kalkulace!G59)</f>
        <v>171.55571</v>
      </c>
      <c r="K26" s="422"/>
    </row>
    <row r="27" spans="1:11" s="1" customFormat="1" ht="18.75" thickBot="1" x14ac:dyDescent="0.3">
      <c r="A27" s="404" t="s">
        <v>5</v>
      </c>
      <c r="B27" s="405"/>
      <c r="C27" s="406"/>
      <c r="D27" s="412">
        <f>SUM(D23:E26)</f>
        <v>107.23849899999999</v>
      </c>
      <c r="E27" s="413"/>
      <c r="F27" s="412">
        <f>SUM(F23:G26)</f>
        <v>77.868088999999998</v>
      </c>
      <c r="G27" s="413"/>
      <c r="H27" s="412" t="e">
        <f>SUM(H23:I26)</f>
        <v>#N/A</v>
      </c>
      <c r="I27" s="413"/>
      <c r="J27" s="412">
        <f>SUM(J23:K26)</f>
        <v>204.14732900000001</v>
      </c>
      <c r="K27" s="413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390" t="s">
        <v>87</v>
      </c>
      <c r="B31" s="391"/>
      <c r="C31" s="392"/>
      <c r="D31" s="400" t="s">
        <v>88</v>
      </c>
      <c r="E31" s="383"/>
      <c r="F31" s="400" t="s">
        <v>89</v>
      </c>
      <c r="G31" s="383"/>
      <c r="H31" s="408" t="s">
        <v>4</v>
      </c>
      <c r="I31" s="409"/>
      <c r="J31" s="424" t="s">
        <v>3</v>
      </c>
      <c r="K31" s="422"/>
    </row>
    <row r="32" spans="1:11" ht="12.75" customHeight="1" thickBot="1" x14ac:dyDescent="0.25">
      <c r="A32" s="393"/>
      <c r="B32" s="394"/>
      <c r="C32" s="395"/>
      <c r="D32" s="384"/>
      <c r="E32" s="385"/>
      <c r="F32" s="384"/>
      <c r="G32" s="385"/>
      <c r="H32" s="410"/>
      <c r="I32" s="411"/>
      <c r="J32" s="424"/>
      <c r="K32" s="422"/>
    </row>
    <row r="33" spans="1:11" ht="13.5" thickBot="1" x14ac:dyDescent="0.25">
      <c r="A33" s="396" t="s">
        <v>7</v>
      </c>
      <c r="B33" s="397"/>
      <c r="C33" s="397"/>
      <c r="D33" s="386">
        <f>IF(výpočty!$U$14=1,Kalkulace!D20,Kalkulace!D66)</f>
        <v>0</v>
      </c>
      <c r="E33" s="387"/>
      <c r="F33" s="386">
        <f>IF(výpočty!$U$14=1,Kalkulace!E20,Kalkulace!E66)</f>
        <v>0</v>
      </c>
      <c r="G33" s="387"/>
      <c r="H33" s="386">
        <f>IF(výpočty!$U$14=1,Kalkulace!F20,Kalkulace!F66)</f>
        <v>0</v>
      </c>
      <c r="I33" s="387"/>
      <c r="J33" s="386">
        <f>IF(výpočty!$U$14=1,Kalkulace!G20,Kalkulace!G66)</f>
        <v>0</v>
      </c>
      <c r="K33" s="422"/>
    </row>
    <row r="34" spans="1:11" ht="13.5" thickBot="1" x14ac:dyDescent="0.25">
      <c r="A34" s="396" t="s">
        <v>8</v>
      </c>
      <c r="B34" s="397"/>
      <c r="C34" s="397"/>
      <c r="D34" s="386">
        <f>IF(výpočty!$U$14=1,Kalkulace!D21,Kalkulace!D67)</f>
        <v>4.5669880000000003</v>
      </c>
      <c r="E34" s="387"/>
      <c r="F34" s="386">
        <f>IF(výpočty!$U$14=1,Kalkulace!E21,Kalkulace!E67)</f>
        <v>4.5669880000000003</v>
      </c>
      <c r="G34" s="387"/>
      <c r="H34" s="386">
        <f>IF(výpočty!$U$14=1,Kalkulace!F21,Kalkulace!F67)</f>
        <v>12.503451999999999</v>
      </c>
      <c r="I34" s="387"/>
      <c r="J34" s="386">
        <f>IF(výpočty!$U$14=1,Kalkulace!G21,Kalkulace!G67)</f>
        <v>4.5669880000000003</v>
      </c>
      <c r="K34" s="422"/>
    </row>
    <row r="35" spans="1:11" ht="13.5" thickBot="1" x14ac:dyDescent="0.25">
      <c r="A35" s="396" t="s">
        <v>81</v>
      </c>
      <c r="B35" s="397"/>
      <c r="C35" s="397"/>
      <c r="D35" s="386">
        <f>IF(výpočty!$U$14=1,Kalkulace!D22,Kalkulace!D68)</f>
        <v>25.264606000000001</v>
      </c>
      <c r="E35" s="387"/>
      <c r="F35" s="386">
        <f>IF(výpočty!$U$14=1,Kalkulace!E22,Kalkulace!E68)</f>
        <v>25.264606000000001</v>
      </c>
      <c r="G35" s="387"/>
      <c r="H35" s="386" t="e">
        <f>IF(výpočty!$U$14=1,Kalkulace!F22,Kalkulace!F68)</f>
        <v>#N/A</v>
      </c>
      <c r="I35" s="387"/>
      <c r="J35" s="386">
        <f>IF(výpočty!$U$14=1,Kalkulace!G22,Kalkulace!G68)</f>
        <v>25.264606000000001</v>
      </c>
      <c r="K35" s="422"/>
    </row>
    <row r="36" spans="1:11" ht="13.5" thickBot="1" x14ac:dyDescent="0.25">
      <c r="A36" s="420" t="s">
        <v>82</v>
      </c>
      <c r="B36" s="420"/>
      <c r="C36" s="421"/>
      <c r="D36" s="386">
        <f>IF(výpočty!$U$14=1,Kalkulace!D23,Kalkulace!D69)</f>
        <v>74.646879999999996</v>
      </c>
      <c r="E36" s="387"/>
      <c r="F36" s="386">
        <f>IF(výpočty!$U$14=1,Kalkulace!E23,Kalkulace!E69)</f>
        <v>45.276469999999996</v>
      </c>
      <c r="G36" s="387"/>
      <c r="H36" s="386">
        <f>IF(výpočty!$U$14=1,Kalkulace!F23,Kalkulace!F69)</f>
        <v>220.142315</v>
      </c>
      <c r="I36" s="387"/>
      <c r="J36" s="386">
        <f>IF(výpočty!$U$14=1,Kalkulace!G23,Kalkulace!G69)</f>
        <v>157.22593499999999</v>
      </c>
      <c r="K36" s="422"/>
    </row>
    <row r="37" spans="1:11" s="1" customFormat="1" ht="18.75" thickBot="1" x14ac:dyDescent="0.3">
      <c r="A37" s="404" t="s">
        <v>5</v>
      </c>
      <c r="B37" s="405"/>
      <c r="C37" s="406"/>
      <c r="D37" s="412">
        <f>SUM(D33:E36)</f>
        <v>104.47847400000001</v>
      </c>
      <c r="E37" s="413"/>
      <c r="F37" s="412">
        <f>SUM(F33:G36)</f>
        <v>75.108063999999999</v>
      </c>
      <c r="G37" s="413"/>
      <c r="H37" s="412" t="e">
        <f>SUM(H33:I36)</f>
        <v>#N/A</v>
      </c>
      <c r="I37" s="413"/>
      <c r="J37" s="412">
        <f>SUM(J33:K36)</f>
        <v>187.05752899999999</v>
      </c>
      <c r="K37" s="413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398" t="s">
        <v>433</v>
      </c>
      <c r="B41" s="400" t="s">
        <v>88</v>
      </c>
      <c r="C41" s="401"/>
      <c r="D41" s="400" t="s">
        <v>89</v>
      </c>
      <c r="E41" s="383"/>
      <c r="F41" s="382" t="s">
        <v>4</v>
      </c>
      <c r="G41" s="383"/>
      <c r="H41" s="416" t="s">
        <v>3</v>
      </c>
      <c r="I41" s="417"/>
      <c r="J41" s="426" t="s">
        <v>100</v>
      </c>
      <c r="K41" s="427"/>
    </row>
    <row r="42" spans="1:11" ht="12.75" customHeight="1" thickBot="1" x14ac:dyDescent="0.25">
      <c r="A42" s="399"/>
      <c r="B42" s="402"/>
      <c r="C42" s="403"/>
      <c r="D42" s="384"/>
      <c r="E42" s="385"/>
      <c r="F42" s="384"/>
      <c r="G42" s="385"/>
      <c r="H42" s="418"/>
      <c r="I42" s="419"/>
      <c r="J42" s="428"/>
      <c r="K42" s="427"/>
    </row>
    <row r="43" spans="1:11" ht="12.75" customHeight="1" thickBot="1" x14ac:dyDescent="0.25">
      <c r="A43" s="39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0.60260999999999998</v>
      </c>
      <c r="G44" s="153">
        <f>IF(výpočty!$U$14=1,Kalkulace!H30,Kalkulace!H76)</f>
        <v>0.60260999999999998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11.481813000000001</v>
      </c>
      <c r="C45" s="154">
        <f>IF(výpočty!$U$14=1,Kalkulace!D41,Kalkulace!D87)</f>
        <v>25.591313</v>
      </c>
      <c r="D45" s="153">
        <f>IF(výpočty!$U$14=1,Kalkulace!E31,Kalkulace!E77)</f>
        <v>11.481813000000001</v>
      </c>
      <c r="E45" s="154">
        <f>IF(výpočty!$U$14=1,Kalkulace!E41,Kalkulace!E87)</f>
        <v>25.591313</v>
      </c>
      <c r="F45" s="153">
        <f>IF(výpočty!$U$14=1,Kalkulace!F31,Kalkulace!F77)</f>
        <v>18.537687000000002</v>
      </c>
      <c r="G45" s="153">
        <f>IF(výpočty!$U$14=1,Kalkulace!H31,Kalkulace!H77)</f>
        <v>25.591313</v>
      </c>
      <c r="H45" s="153">
        <f>IF(výpočty!$U$14=1,Kalkulace!G31,Kalkulace!G77)</f>
        <v>11.481813000000001</v>
      </c>
      <c r="I45" s="161">
        <f>IF(výpočty!$U$14=1,Kalkulace!H41,Kalkulace!H87)</f>
        <v>25.591313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26.291857</v>
      </c>
      <c r="C46" s="154">
        <f>IF(výpočty!$U$14=1,Kalkulace!D42,Kalkulace!D88)</f>
        <v>32.191794999999999</v>
      </c>
      <c r="D46" s="153">
        <f>IF(výpočty!$U$14=1,Kalkulace!E32,Kalkulace!E78)</f>
        <v>26.291857</v>
      </c>
      <c r="E46" s="154">
        <f>IF(výpočty!$U$14=1,Kalkulace!E42,Kalkulace!E88)</f>
        <v>32.191794999999999</v>
      </c>
      <c r="F46" s="153">
        <f>IF(výpočty!$U$14=1,Kalkulace!F32,Kalkulace!F78)</f>
        <v>26.291857</v>
      </c>
      <c r="G46" s="153">
        <f>IF(výpočty!$U$14=1,Kalkulace!H32,Kalkulace!H78)</f>
        <v>32.191794999999999</v>
      </c>
      <c r="H46" s="153">
        <f>IF(výpočty!$U$14=1,Kalkulace!G32,Kalkulace!G78)</f>
        <v>26.291857</v>
      </c>
      <c r="I46" s="161">
        <f>IF(výpočty!$U$14=1,Kalkulace!H42,Kalkulace!H88)</f>
        <v>32.191794999999999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74.646879999999996</v>
      </c>
      <c r="C47" s="154">
        <f>IF(výpočty!$U$14=1,Kalkulace!D43,Kalkulace!D89)</f>
        <v>74.646879999999996</v>
      </c>
      <c r="D47" s="153">
        <f>IF(výpočty!$U$14=1,Kalkulace!E33,Kalkulace!E79)</f>
        <v>45.276469999999996</v>
      </c>
      <c r="E47" s="154">
        <f>IF(výpočty!$U$14=1,Kalkulace!E43,Kalkulace!E89)</f>
        <v>45.276469999999996</v>
      </c>
      <c r="F47" s="153">
        <f>IF(výpočty!$U$14=1,Kalkulace!F33,Kalkulace!F79)</f>
        <v>322.74766499999998</v>
      </c>
      <c r="G47" s="153">
        <f>IF(výpočty!$U$14=1,Kalkulace!H33,Kalkulace!H79)</f>
        <v>448.02091499999995</v>
      </c>
      <c r="H47" s="153">
        <f>IF(výpočty!$U$14=1,Kalkulace!G33,Kalkulace!G79)</f>
        <v>241.58213499999999</v>
      </c>
      <c r="I47" s="161">
        <f>IF(výpočty!$U$14=1,Kalkulace!H43,Kalkulace!H89)</f>
        <v>340.68933499999997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112.42054999999999</v>
      </c>
      <c r="C49" s="136">
        <f t="shared" si="0"/>
        <v>132.42998799999998</v>
      </c>
      <c r="D49" s="131">
        <f t="shared" si="0"/>
        <v>83.050139999999999</v>
      </c>
      <c r="E49" s="136">
        <f t="shared" si="0"/>
        <v>103.05957799999999</v>
      </c>
      <c r="F49" s="131">
        <f t="shared" si="0"/>
        <v>368.17981899999995</v>
      </c>
      <c r="G49" s="131">
        <f t="shared" si="0"/>
        <v>506.40663299999994</v>
      </c>
      <c r="H49" s="131">
        <f t="shared" si="0"/>
        <v>279.35580499999998</v>
      </c>
      <c r="I49" s="136">
        <f t="shared" si="0"/>
        <v>398.472443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425" t="s">
        <v>21</v>
      </c>
      <c r="F58" s="422"/>
      <c r="G58" s="414" t="s">
        <v>121</v>
      </c>
      <c r="H58" s="415"/>
      <c r="J58" s="166"/>
    </row>
    <row r="59" spans="1:11" x14ac:dyDescent="0.2">
      <c r="A59" t="str">
        <f>IF(výpočty!$A$110=0,výpočty!A111,výpočty!A110)</f>
        <v>nie można zastosować mech.rolet. C3</v>
      </c>
      <c r="E59" s="380" t="str">
        <f>IF(výpočty!$C$110=0,výpočty!C111,výpočty!C110)</f>
        <v>nie można zastosować mech.rolet. C3</v>
      </c>
      <c r="F59" s="380"/>
      <c r="G59" s="407" t="str">
        <f>IF(výpočty!$D$110=0,výpočty!D111,výpočty!D110)</f>
        <v>nie można zastosować mech.rolet. C3</v>
      </c>
      <c r="H59" s="380"/>
      <c r="J59" s="166"/>
    </row>
    <row r="60" spans="1:11" x14ac:dyDescent="0.2">
      <c r="A60" t="str">
        <f>výpočty!A112</f>
        <v/>
      </c>
      <c r="E60" s="380" t="str">
        <f>výpočty!C112</f>
        <v/>
      </c>
      <c r="F60" s="380"/>
      <c r="G60" s="407" t="str">
        <f>výpočty!D112</f>
        <v/>
      </c>
      <c r="H60" s="380"/>
      <c r="J60" s="166"/>
    </row>
    <row r="61" spans="1:11" x14ac:dyDescent="0.2">
      <c r="A61" t="str">
        <f>výpočty!A114</f>
        <v>RB 50/CB - pro posun nahoru</v>
      </c>
      <c r="E61" s="380" t="str">
        <f>výpočty!C114</f>
        <v>bez omezení</v>
      </c>
      <c r="F61" s="380"/>
      <c r="G61" s="407" t="e">
        <f>výpočty!D114</f>
        <v>#N/A</v>
      </c>
      <c r="H61" s="380"/>
    </row>
    <row r="62" spans="1:11" x14ac:dyDescent="0.2">
      <c r="A62" t="str">
        <f>výpočty!A115</f>
        <v>RB 3B</v>
      </c>
      <c r="E62" s="380" t="str">
        <f>výpočty!C115</f>
        <v>bez omezení</v>
      </c>
      <c r="F62" s="380"/>
      <c r="G62" s="407">
        <f>výpočty!D115</f>
        <v>18.350619999999999</v>
      </c>
      <c r="H62" s="380"/>
    </row>
    <row r="63" spans="1:11" x14ac:dyDescent="0.2">
      <c r="A63" t="str">
        <f>výpočty!A116</f>
        <v/>
      </c>
      <c r="E63" s="380" t="str">
        <f>výpočty!C116</f>
        <v/>
      </c>
      <c r="F63" s="380"/>
      <c r="G63" s="407" t="str">
        <f>výpočty!D116</f>
        <v/>
      </c>
      <c r="H63" s="380"/>
    </row>
    <row r="64" spans="1:11" x14ac:dyDescent="0.2">
      <c r="A64" t="str">
        <f>výpočty!A117</f>
        <v/>
      </c>
      <c r="E64" s="380" t="str">
        <f>výpočty!C117</f>
        <v/>
      </c>
      <c r="F64" s="380"/>
      <c r="G64" s="407" t="str">
        <f>výpočty!D117</f>
        <v/>
      </c>
      <c r="H64" s="380"/>
    </row>
  </sheetData>
  <sheetProtection selectLockedCells="1"/>
  <mergeCells count="89"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16" t="s">
        <v>1322</v>
      </c>
      <c r="B2" s="616"/>
      <c r="C2" s="616"/>
      <c r="D2" s="616"/>
      <c r="E2" s="616"/>
      <c r="F2" s="616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17" t="s">
        <v>1328</v>
      </c>
      <c r="B7" s="617"/>
      <c r="C7" s="617"/>
      <c r="D7" s="617"/>
      <c r="E7" s="617"/>
      <c r="F7" s="617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16" t="s">
        <v>1315</v>
      </c>
      <c r="B10" s="616"/>
      <c r="C10" s="616"/>
      <c r="D10" s="616"/>
      <c r="E10" s="616"/>
      <c r="F10" s="616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C120" sqref="C120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3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Zamawianie żaluzji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 xml:space="preserve">Klient 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Nazwa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Ulica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Miasto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NIP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Uwagi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Zniżka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 xml:space="preserve">Ilość szt. 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Przygotować żaluzje na miarę?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Jeśli wybierzesz opcję "tak", żaluzja będzie przygotowana jako komplet, nacięta i przyszykowana do montażu (należy jeszcze poprawić niektóre tory)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System nawijania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Rozmiar szafki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wysokość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szerokość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głębokość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Kierunek ruchu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Typ systemu prowadzenia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Kolor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Kod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Sortyment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 xml:space="preserve">Ilość 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Cena za sztukę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Cena bez VAT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Kod dostawy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Profil rolety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 xml:space="preserve">Listwa końcowa 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Listwa maskująca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Listwa torowa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Opłata za przygotowanie kompletu na miarę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 xml:space="preserve">W sumie 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 xml:space="preserve">Dekor - buk, czereśnia, brzoza, klon, chrom, czereśnia havana, calavados, transparent. 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Typ systemu prowadzenia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 - wpuszczany do przykręcenia plastikowy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wpuszczany do zafrezowania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>Nakładany z prowadzeniem metalic-line 29 mm i mechanimem C3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aluminium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stal nierdzewna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Roleta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Listwa końcowa + ślizgacze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 xml:space="preserve">Listwa torowa + rogi 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 xml:space="preserve">Mechanizm roletowy C3 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Kolory pastelowe - biały, czarny, szary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Metallicline - aluminium, stal nierdzewna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 xml:space="preserve">do tego wariantu można zastosować następujący SET: 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Mechanizmy roletowe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 xml:space="preserve">Oznaczenie 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Rozmiar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 xml:space="preserve">Cena 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Nakładany system z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Do tyłu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Do ślimaka roletowego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Z mecjanizmem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Pionowy (z góry na dół)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Poziomy (z lewej strony na prawą)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Czarny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Biały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Szary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Aluminowa plastik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Buk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Czereśnia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Klon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Brzoza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Czereśnia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Transparentny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Aluminium szerokość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Nierdz. szerokość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Bez ograniczeń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nie można zastosować z mechanizmem wyważającym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nie odpowiada żadny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nie odpowiada żadny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o rozmiarach szerokość - 500, wysokość - 600-1000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o rozmiarach szerokość - 500, wysokość -1000-1500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o rozmiarach szerokość - 600, wysokość - 600-1000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o rozmiarach szerokość - 600, wysokość - 1000-1500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o rozmiarach szerokość - 900, wysokość - 600-1000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o rozmiarach szerokość - 900, wysokość - 1000-1500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Podane ceny nie zawierają podatku VAT i ważne są od 06.01.2025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nie można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>Frame - nakładany z listwą maskującą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wpuszczany do przykręcenia metalowy z listwą maskującą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Tak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Nie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 xml:space="preserve">Za mała głębokość na mech. roletowy (np. ślimak) 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Wybierz mechanizm roletowy C3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nie można zastosować ślimaka rolety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nie można zastosować mech.rolet. C3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nie można zastosować ślimaka rolety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taśma klejąca do przyklejenia żaluzji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Rozmiar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do skracania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Lista elementów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Instrukcja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Do przykręcania. Aluminiowe listwy torowe, które mają osłony w takim samym kolorze jak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System nakładany (FRAME). Prowadnica tego systemu składa się z dwóch części: aluminowego toru i osłony, która jest w tym samym kolorze co roleta.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Wzorniki kolorów są jedynie orientacyjne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Instrukcje montażu są dostępne na naszym portalu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>System do przykręcania. Tory są dostępne jedynie w unikolorach.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Pion.25.02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2758</v>
      </c>
    </row>
    <row r="106" spans="1:7" x14ac:dyDescent="0.2">
      <c r="A106" s="181" t="str">
        <f>CONCATENATE(IF($A$1=1,B:B,IF($A$1=2,C:C,IF($A$1=3,D:D,IF($A$1=4,E:E)))),F106)</f>
        <v>Podane ceny nie zawierają podatku VAT i obowiązują od06.01.2025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2757</v>
      </c>
    </row>
    <row r="107" spans="1:7" x14ac:dyDescent="0.2">
      <c r="A107" s="181" t="str">
        <f t="shared" si="1"/>
        <v>JM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KOMP.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MB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PAR.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SZT.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Formularz zamowieniowy rolet Rehau 25.02 PL</v>
      </c>
      <c r="B112" s="185" t="str">
        <f>CONCATENATE("Objednávkový formulář na rolety Rehau ",F105," CZ")</f>
        <v>Objednávkový formulář na rolety Rehau 25.02 CZ</v>
      </c>
      <c r="C112" s="185" t="str">
        <f>CONCATENATE("Objednávkový formulár na rolety Rehau ",F105," SK")</f>
        <v>Objednávkový formulár na rolety Rehau 25.02 SK</v>
      </c>
      <c r="D112" s="185" t="str">
        <f>CONCATENATE("Formularz zamowieniowy rolet Rehau ",F105," PL")</f>
        <v>Formularz zamowieniowy rolet Rehau 25.02 PL</v>
      </c>
      <c r="E112" s="185" t="str">
        <f>CONCATENATE("Megrendelési űrlap Rehau ",F105," redőnyökre HU")</f>
        <v>Megrendelési űrlap Rehau 25.02 redőnyökre HU</v>
      </c>
      <c r="G112"/>
    </row>
    <row r="113" spans="1:5" x14ac:dyDescent="0.2">
      <c r="A113" s="181" t="str">
        <f t="shared" si="1"/>
        <v>kontrolne zewnętrzne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wewnętrzne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(materiał gr. 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Aluminium szerokość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Nierdz. szerokość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Prosimy korzystać zawsze z aktualnej wersji formularza umieszczonego na naszych stronach web.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>Zapisane zamówienie wyślij pod adres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zamowienia@demos-trade.com</v>
      </c>
      <c r="B120" t="s">
        <v>1798</v>
      </c>
      <c r="C120" t="s">
        <v>2759</v>
      </c>
      <c r="D120" t="s">
        <v>1799</v>
      </c>
      <c r="E120" t="s">
        <v>1800</v>
      </c>
    </row>
    <row r="121" spans="1:5" x14ac:dyDescent="0.2">
      <c r="A121" s="181" t="str">
        <f t="shared" si="1"/>
        <v>Formularz składa się z kilku stron, które można przełączać w dolnej części.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>Do formularza należy zapisać wyłącznie rozmiary wewnętrzne szafki (rozmiary zewnętrzne służą do kontroli)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>W wypadku, kiedy któraś z pozycji jest na zamówienie, minimalny odbiór wyłącznie w pełnych opakowaniach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Do rolet pionowych powyżej 500mm zalecamy zastosowanie odpowiedniego mechanizmu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Formularz służy jako pomoc do konfiguracji, do właściwego działania rolety zawsze należy kierować się zaleceniami producenta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Telefon kontaktowy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Adres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Adres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Wpisz proszę dane kontaktowe i kliknij w okienko zamawianie żaluzji.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Poprzez zapisanie danych potwierdzasz, że zapoznałeś się z podanymi niżej informacjami!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Formularz zamowieniowy rolet Rehau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W formularzu nie zawsze są dokładnie podane ograniczenia maksymalnych rozmiarów szafki, należy zatem dotrzymywać zalecenia producenta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Aluminium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Nierdz.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>Maksymalna zalecana długość profili roletowych zapisanych w formularzu (szerokość maty roletowej) jest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>Jeżeli w formularzu po zapisaniu konkretnych danych nie pojawia się kwota końcowa, chodzi o błędną kombinację /połączenie danych/ (należy zwrócić się o pomoc do technika)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(zmianę danych można przeprowadzić na stronie wstępnej formularza)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Wprowadzenie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śnieżno biala mat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Aluminowa plastik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 xml:space="preserve">Rodzaje profili roletowych 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Kolor śnieżno biały w profilu E9 można łączyć jedynie z prowadzeniem Classic i systemem nawijania do tyłu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>Kolor aluminium plastik w profilu E4 jest idealny do poziomych rozwiązań w kombinacji z prowadzeniem Classic z systemem nawijania do tyłu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Systemu prowadzenia TOP BASIC nie da się zastosować z roletowym profilem Metallic line. Należy wybrać wersję TOP.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Koloru BUK w profilu E23 nie da się łączyć z prowadzeniem FRAME.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>Nakładany system prowadzenia z metalic-line 29 mm i mechanizmem C3 można łączyć jedynie z systemem nawijania przez mechanike C3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>Systemu TOP BASIC nie da się zastosować z ślimakiem roletowym. Zalecamy wybrać wersję TOP.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 xml:space="preserve">Maksymalna zalecana wysokość przy poziomym ruchu żaluzji w połączeniu z profilem E4 to 1900mm. 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Systemu nawijania na mechanizm C3 nie można łączyć z prowadzeniem TOP BASIC bez samodzielnego dostosowywania profilu prowadzącego (zob. instrukcja). Kolejnym rozwiązaniem jest wybór prowadzenia TOP.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Systemu nawijania na mechanizm C3 nie można łączyć z prowadzeniem Classic, zalecamy wybrać inny system nawijania.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Nakładany system prowadzenia z metalic-line 29 mm i mechanizmem C3 zalecamy łaczyć tylko z profilem Metallic Line.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Systemu prowadzenia TOP BASIC nie da się zastosować z roletowym profilem Metallic line. Należy wybrać wersję TOP.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U systemu nawijania do tyłu i do ślimaka roletowego nie da się zastosować nakładanego systemu prowadzenia 29 mm i mechanizmu C3. Należy wybrać wersję FRAME.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Mechanizmu C3 nie da się zastosować przy poziomym ruchu żaluzji.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>Do szafki nad 800mm (rozmiary wewnętrzne) zalecamy zastosowć mechanizm C3 (należy wziąć pod uwagę kombinację wysokości i szerokości).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>Nie zaleca się stosowania żaluzji z prowadzeniem pionowym do szafki o szerokości większej niż 1164 mm (rozmiary wewnętrzne). Rozwiązaniem jest podzielenie żaluzji lub zmiana kierunku ruchu żaluzji na poziomy.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Przy poziomym ruchu żaluzji w kombinacji z roletami typu E23, E9 lub Metallic line maksymalna zalecana wysokość to 1150 mm (rozmiary wewnętrzne). Aby uzyskać wyższą wersję, musisz wybrać profil W4 w kombinacji z systemem Classic.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wykończenie kolorystyczne aluminium lub stal nierdzewna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(w kombinacji z plastikową prowadnicą)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elegancki wygląd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>jedynie kolor aluminium plastik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>wygląd metaliczny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szczebelek profilu żaluzjowego jest zamkniety od wewnątrz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szczebelek profilu żaluzjowego jest od wewnątrz otwarty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>plastikowe wykończenie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profile w różnych kombinacjach kolorystycznych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na magazynie design w kolorze śnieżno białym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 xml:space="preserve">odpowiednie do wysokich prowadzeń poziomych 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Koloru CALVADOS w profilu E23 nie da się łączyć z prowadzeniem FRAME.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Koloru Czereśnia havana w profilu E23 nie da się łączyć z prowadzeniem FRAME.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przy prowadzeniu pionowym z mechanizmem C3 zalecane wymiary korpusu to: szerokość 364-1164mm i wysokość  614-2164mm (rozmiary wewnętrzne)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rozmiary wewnętrzne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Nakładany system prowadzenia (29 mm). Chodzi o prowadzenie w kolorze aluminium lub stali nierdzewnej w profilu Metallic line i w kombinacji z mechanizmem C3. 
Prowadnice należy przed montażem przygotować zgodnie z rysunkiem poniżej.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Przy zastosowaniu nakładanego prowadzenia 29 mm do Metallic line w kombinacji z mechanizmem C3, prowadnice należy przygotować zgodnie z rysunkiem w zakładce Instrukcja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Koloru Brzoza w profilu E23 nie da się łączyć z prowadzeniem FRAME.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Koloru Czereśnia w profilu E23 nie da się łączyć z prowadzeniem FRAME.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Koloru Klon w profilu E23 nie da się łączyć z prowadzeniem FRAME.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hyperlinks>
    <hyperlink ref="C120" r:id="rId1" xr:uid="{DA29250E-5A21-4113-A722-1BB023288ABC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390" t="s">
        <v>0</v>
      </c>
      <c r="B7" s="391"/>
      <c r="C7" s="392"/>
      <c r="D7" s="429" t="s">
        <v>2</v>
      </c>
      <c r="E7" s="429" t="s">
        <v>1</v>
      </c>
      <c r="F7" s="429" t="s">
        <v>4</v>
      </c>
      <c r="G7" s="429" t="s">
        <v>3</v>
      </c>
    </row>
    <row r="8" spans="1:7" ht="12.75" customHeight="1" x14ac:dyDescent="0.2">
      <c r="A8" s="434"/>
      <c r="B8" s="435"/>
      <c r="C8" s="436"/>
      <c r="D8" s="433"/>
      <c r="E8" s="433"/>
      <c r="F8" s="433"/>
      <c r="G8" s="433"/>
    </row>
    <row r="9" spans="1:7" ht="12.75" customHeight="1" thickBot="1" x14ac:dyDescent="0.25">
      <c r="A9" s="393"/>
      <c r="B9" s="394"/>
      <c r="C9" s="395"/>
      <c r="D9" s="430"/>
      <c r="E9" s="430"/>
      <c r="F9" s="430"/>
      <c r="G9" s="430"/>
    </row>
    <row r="10" spans="1:7" x14ac:dyDescent="0.2">
      <c r="A10" s="396" t="s">
        <v>7</v>
      </c>
      <c r="B10" s="397"/>
      <c r="C10" s="397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396" t="s">
        <v>8</v>
      </c>
      <c r="B11" s="397"/>
      <c r="C11" s="397"/>
      <c r="D11" s="8">
        <f>výpočty!I8*výpočty!G33</f>
        <v>6.1848480000000006</v>
      </c>
      <c r="E11" s="9">
        <f>výpočty!I9*výpočty!G33</f>
        <v>6.1848480000000006</v>
      </c>
      <c r="F11" s="9" t="e">
        <f>výpočty!I13*výpočty!I49</f>
        <v>#N/A</v>
      </c>
      <c r="G11" s="9">
        <f>výpočty!I10*výpočty!G33</f>
        <v>6.1848480000000006</v>
      </c>
    </row>
    <row r="12" spans="1:7" x14ac:dyDescent="0.2">
      <c r="A12" s="396" t="s">
        <v>9</v>
      </c>
      <c r="B12" s="397"/>
      <c r="C12" s="397"/>
      <c r="D12" s="10">
        <f>výpočty!K8*výpočty!D33+výpočty!E34</f>
        <v>26.406770999999999</v>
      </c>
      <c r="E12" s="9">
        <f>výpočty!K9*výpočty!D33+výpočty!E34</f>
        <v>26.406770999999999</v>
      </c>
      <c r="F12" s="9" t="e">
        <f>výpočty!K13*výpočty!E49+výpočty!F48</f>
        <v>#N/A</v>
      </c>
      <c r="G12" s="9">
        <f>výpočty!K10*výpočty!D33+výpočty!E34</f>
        <v>26.406770999999999</v>
      </c>
    </row>
    <row r="13" spans="1:7" ht="13.5" thickBot="1" x14ac:dyDescent="0.25">
      <c r="A13" s="420" t="s">
        <v>6</v>
      </c>
      <c r="B13" s="420"/>
      <c r="C13" s="421"/>
      <c r="D13" s="11">
        <f>výpočty!G8*výpočty!L33+4*výpočty!N33</f>
        <v>74.646879999999996</v>
      </c>
      <c r="E13" s="12">
        <f>výpočty!G9*výpočty!L34+4*výpočty!N34</f>
        <v>45.276469999999996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171.55571</v>
      </c>
    </row>
    <row r="14" spans="1:7" s="1" customFormat="1" ht="18.75" thickBot="1" x14ac:dyDescent="0.3">
      <c r="A14" s="404" t="s">
        <v>5</v>
      </c>
      <c r="B14" s="405"/>
      <c r="C14" s="406"/>
      <c r="D14" s="13">
        <f>SUM(D10:D13)</f>
        <v>107.23849899999999</v>
      </c>
      <c r="E14" s="13">
        <f>SUM(E10:E13)</f>
        <v>77.868088999999998</v>
      </c>
      <c r="F14" s="13" t="e">
        <f>SUM(F10:F13)</f>
        <v>#N/A</v>
      </c>
      <c r="G14" s="13">
        <f>SUM(G10:G13)</f>
        <v>204.14732900000001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390" t="s">
        <v>0</v>
      </c>
      <c r="B18" s="391"/>
      <c r="C18" s="392"/>
      <c r="D18" s="429" t="s">
        <v>2</v>
      </c>
      <c r="E18" s="429" t="s">
        <v>1</v>
      </c>
      <c r="F18" s="429" t="s">
        <v>4</v>
      </c>
      <c r="G18" s="429" t="s">
        <v>3</v>
      </c>
    </row>
    <row r="19" spans="1:8" ht="12.75" customHeight="1" thickBot="1" x14ac:dyDescent="0.25">
      <c r="A19" s="393"/>
      <c r="B19" s="394"/>
      <c r="C19" s="395"/>
      <c r="D19" s="430"/>
      <c r="E19" s="430"/>
      <c r="F19" s="430"/>
      <c r="G19" s="430"/>
    </row>
    <row r="20" spans="1:8" ht="12.75" customHeight="1" x14ac:dyDescent="0.2">
      <c r="A20" s="396" t="s">
        <v>7</v>
      </c>
      <c r="B20" s="397"/>
      <c r="C20" s="397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396" t="s">
        <v>8</v>
      </c>
      <c r="B21" s="397"/>
      <c r="C21" s="397"/>
      <c r="D21" s="8">
        <f>výpočty!I8*výpočty!G34</f>
        <v>4.5669880000000003</v>
      </c>
      <c r="E21" s="9">
        <f>výpočty!I9*výpočty!G34</f>
        <v>4.5669880000000003</v>
      </c>
      <c r="F21" s="9">
        <f>výpočty!I13*výpočty!I48</f>
        <v>12.503451999999999</v>
      </c>
      <c r="G21" s="9">
        <f>výpočty!I10*výpočty!G34</f>
        <v>4.5669880000000003</v>
      </c>
    </row>
    <row r="22" spans="1:8" x14ac:dyDescent="0.2">
      <c r="A22" s="396" t="s">
        <v>9</v>
      </c>
      <c r="B22" s="397"/>
      <c r="C22" s="397"/>
      <c r="D22" s="10">
        <f>výpočty!K8*výpočty!D34+výpočty!E34</f>
        <v>25.264606000000001</v>
      </c>
      <c r="E22" s="9">
        <f>výpočty!K9*výpočty!D34+výpočty!E34</f>
        <v>25.264606000000001</v>
      </c>
      <c r="F22" s="9" t="e">
        <f>výpočty!K13*výpočty!E48+výpočty!F48</f>
        <v>#N/A</v>
      </c>
      <c r="G22" s="9">
        <f>výpočty!K10*výpočty!D34+výpočty!E34</f>
        <v>25.264606000000001</v>
      </c>
    </row>
    <row r="23" spans="1:8" ht="13.5" thickBot="1" x14ac:dyDescent="0.25">
      <c r="A23" s="420" t="s">
        <v>6</v>
      </c>
      <c r="B23" s="420"/>
      <c r="C23" s="421"/>
      <c r="D23" s="11">
        <f>výpočty!G8*výpočty!L33+4*výpočty!N33</f>
        <v>74.646879999999996</v>
      </c>
      <c r="E23" s="12">
        <f>výpočty!G9*výpočty!L34+4*výpočty!N34</f>
        <v>45.276469999999996</v>
      </c>
      <c r="F23" s="12">
        <f>výpočty!G13*výpočty!L33+výpočty!G14*výpočty!L41+4*výpočty!N41+výpočty!L45+výpočty!G15*výpočty!L44</f>
        <v>220.142315</v>
      </c>
      <c r="G23" s="12">
        <f>výpočty!G10*výpočty!L33+výpočty!G11*výpočty!L36+4*výpočty!N36+výpočty!G12*výpočty!L39</f>
        <v>157.22593499999999</v>
      </c>
    </row>
    <row r="24" spans="1:8" s="1" customFormat="1" ht="18.75" thickBot="1" x14ac:dyDescent="0.3">
      <c r="A24" s="404" t="s">
        <v>5</v>
      </c>
      <c r="B24" s="405"/>
      <c r="C24" s="406"/>
      <c r="D24" s="13">
        <f>SUM(D20:D23)</f>
        <v>104.47847400000001</v>
      </c>
      <c r="E24" s="14">
        <f>SUM(E20:E23)</f>
        <v>75.108063999999999</v>
      </c>
      <c r="F24" s="15" t="e">
        <f>SUM(F20:F23)</f>
        <v>#N/A</v>
      </c>
      <c r="G24" s="15">
        <f>SUM(G20:G23)</f>
        <v>187.05752899999999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390" t="s">
        <v>0</v>
      </c>
      <c r="B28" s="391"/>
      <c r="C28" s="392"/>
      <c r="D28" s="429" t="s">
        <v>2</v>
      </c>
      <c r="E28" s="429" t="s">
        <v>1</v>
      </c>
      <c r="F28" s="429" t="s">
        <v>4</v>
      </c>
      <c r="G28" s="429" t="s">
        <v>3</v>
      </c>
      <c r="H28" s="26" t="s">
        <v>4</v>
      </c>
    </row>
    <row r="29" spans="1:8" ht="12.75" customHeight="1" thickBot="1" x14ac:dyDescent="0.25">
      <c r="A29" s="393"/>
      <c r="B29" s="394"/>
      <c r="C29" s="395"/>
      <c r="D29" s="430"/>
      <c r="E29" s="430"/>
      <c r="F29" s="430"/>
      <c r="G29" s="430"/>
      <c r="H29" s="27" t="s">
        <v>436</v>
      </c>
    </row>
    <row r="30" spans="1:8" x14ac:dyDescent="0.2">
      <c r="A30" s="396" t="s">
        <v>7</v>
      </c>
      <c r="B30" s="397"/>
      <c r="C30" s="397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0.60260999999999998</v>
      </c>
      <c r="G30" s="6">
        <f>výpočty!O10*výpočty!C35+výpočty!F33*výpočty!M10</f>
        <v>0</v>
      </c>
      <c r="H30">
        <f>výpočty!O13*výpočty!C36+výpočty!F33*výpočty!M13</f>
        <v>0.60260999999999998</v>
      </c>
    </row>
    <row r="31" spans="1:8" x14ac:dyDescent="0.2">
      <c r="A31" s="396" t="s">
        <v>8</v>
      </c>
      <c r="B31" s="397"/>
      <c r="C31" s="397"/>
      <c r="D31" s="8">
        <f>výpočty!I8*výpočty!G35</f>
        <v>11.481813000000001</v>
      </c>
      <c r="E31" s="8">
        <f>výpočty!I9*výpočty!G35</f>
        <v>11.481813000000001</v>
      </c>
      <c r="F31" s="8">
        <f>výpočty!I13*výpočty!G40</f>
        <v>18.537687000000002</v>
      </c>
      <c r="G31" s="8">
        <f>výpočty!I10*výpočty!G35</f>
        <v>11.481813000000001</v>
      </c>
      <c r="H31">
        <f>výpočty!I13*výpočty!G41</f>
        <v>25.591313</v>
      </c>
    </row>
    <row r="32" spans="1:8" x14ac:dyDescent="0.2">
      <c r="A32" s="396" t="s">
        <v>9</v>
      </c>
      <c r="B32" s="397"/>
      <c r="C32" s="397"/>
      <c r="D32" s="8">
        <f>výpočty!K8*výpočty!D35+výpočty!E59</f>
        <v>26.291857</v>
      </c>
      <c r="E32" s="8">
        <f>výpočty!K9*výpočty!D35+výpočty!E59</f>
        <v>26.291857</v>
      </c>
      <c r="F32" s="8">
        <f>výpočty!N14*výpočty!D40+výpočty!E40</f>
        <v>26.291857</v>
      </c>
      <c r="G32" s="8">
        <f>výpočty!K10*výpočty!D35+výpočty!E59</f>
        <v>26.291857</v>
      </c>
      <c r="H32">
        <f>výpočty!N14*výpočty!D41+výpočty!E40</f>
        <v>32.191794999999999</v>
      </c>
    </row>
    <row r="33" spans="1:8" ht="13.5" thickBot="1" x14ac:dyDescent="0.25">
      <c r="A33" s="420" t="s">
        <v>6</v>
      </c>
      <c r="B33" s="420"/>
      <c r="C33" s="421"/>
      <c r="D33" s="3">
        <f>výpočty!G8*výpočty!L33+4*výpočty!N33</f>
        <v>74.646879999999996</v>
      </c>
      <c r="E33" s="4">
        <f>výpočty!G9*výpočty!L34+4*výpočty!N34</f>
        <v>45.276469999999996</v>
      </c>
      <c r="F33" s="3">
        <f>výpočty!G13*výpočty!L33+výpočty!G14*výpočty!L42+4*výpočty!N42+výpočty!L45+výpočty!G15*výpočty!L44</f>
        <v>322.74766499999998</v>
      </c>
      <c r="G33" s="5">
        <f>výpočty!G10*výpočty!L33+výpočty!G11*výpočty!L37+4*výpočty!N37+výpočty!G12*výpočty!L39</f>
        <v>241.58213499999999</v>
      </c>
      <c r="H33">
        <f>výpočty!G13*výpočty!L33+výpočty!G14*výpočty!L43+4*výpočty!N43+výpočty!L45+výpočty!G15*výpočty!L44</f>
        <v>448.02091499999995</v>
      </c>
    </row>
    <row r="34" spans="1:8" s="1" customFormat="1" ht="18.75" thickBot="1" x14ac:dyDescent="0.3">
      <c r="A34" s="404" t="s">
        <v>5</v>
      </c>
      <c r="B34" s="405"/>
      <c r="C34" s="406"/>
      <c r="D34" s="13">
        <f>SUM(D30:D33)</f>
        <v>112.42054999999999</v>
      </c>
      <c r="E34" s="13">
        <f>SUM(E30:E33)</f>
        <v>83.050139999999999</v>
      </c>
      <c r="F34" s="13">
        <f>SUM(F30:F33)</f>
        <v>368.17981899999995</v>
      </c>
      <c r="G34" s="13">
        <f>SUM(G30:G33)</f>
        <v>279.35580499999998</v>
      </c>
      <c r="H34" s="13">
        <f>SUM(H30:H33)</f>
        <v>506.40663299999994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390" t="s">
        <v>0</v>
      </c>
      <c r="B38" s="391"/>
      <c r="C38" s="392"/>
      <c r="D38" s="429" t="s">
        <v>2</v>
      </c>
      <c r="E38" s="429" t="s">
        <v>1</v>
      </c>
      <c r="F38" s="431" t="s">
        <v>389</v>
      </c>
      <c r="G38" s="431" t="s">
        <v>388</v>
      </c>
      <c r="H38" s="429" t="s">
        <v>3</v>
      </c>
    </row>
    <row r="39" spans="1:8" ht="12.75" customHeight="1" thickBot="1" x14ac:dyDescent="0.25">
      <c r="A39" s="393"/>
      <c r="B39" s="394"/>
      <c r="C39" s="395"/>
      <c r="D39" s="430"/>
      <c r="E39" s="430"/>
      <c r="F39" s="432"/>
      <c r="G39" s="432"/>
      <c r="H39" s="430"/>
    </row>
    <row r="40" spans="1:8" ht="13.5" thickBot="1" x14ac:dyDescent="0.25">
      <c r="A40" s="396" t="s">
        <v>7</v>
      </c>
      <c r="B40" s="397"/>
      <c r="C40" s="397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9.0391499999999994</v>
      </c>
      <c r="G40" s="19">
        <f>výpočty!O16*výpočty!C35+výpočty!F33*výpočty!M16</f>
        <v>9.0391499999999994</v>
      </c>
      <c r="H40" s="19">
        <f>výpočty!O8*výpočty!C36+výpočty!F33*výpočty!M8</f>
        <v>0</v>
      </c>
    </row>
    <row r="41" spans="1:8" ht="13.5" thickBot="1" x14ac:dyDescent="0.25">
      <c r="A41" s="396" t="s">
        <v>8</v>
      </c>
      <c r="B41" s="397"/>
      <c r="C41" s="397"/>
      <c r="D41" s="8">
        <f>výpočty!I8*výpočty!G36</f>
        <v>25.591313</v>
      </c>
      <c r="E41" s="8">
        <f>výpočty!I9*výpočty!G36</f>
        <v>25.591313</v>
      </c>
      <c r="F41" s="19">
        <f>výpočty!I13*výpočty!G41</f>
        <v>25.591313</v>
      </c>
      <c r="G41" s="19">
        <f>výpočty!I13*výpočty!G40</f>
        <v>18.537687000000002</v>
      </c>
      <c r="H41" s="19">
        <f>výpočty!I8*výpočty!G36</f>
        <v>25.591313</v>
      </c>
    </row>
    <row r="42" spans="1:8" ht="13.5" thickBot="1" x14ac:dyDescent="0.25">
      <c r="A42" s="396" t="s">
        <v>9</v>
      </c>
      <c r="B42" s="397"/>
      <c r="C42" s="397"/>
      <c r="D42" s="8">
        <f>výpočty!K8*výpočty!D36+výpočty!E60</f>
        <v>32.191794999999999</v>
      </c>
      <c r="E42" s="8">
        <f>výpočty!K9*výpočty!D36+výpočty!E60</f>
        <v>32.191794999999999</v>
      </c>
      <c r="F42" s="19">
        <f>výpočty!N14*výpočty!D41+výpočty!E40</f>
        <v>32.191794999999999</v>
      </c>
      <c r="G42" s="19">
        <f>výpočty!N14*výpočty!D40+výpočty!E40</f>
        <v>26.291857</v>
      </c>
      <c r="H42" s="19">
        <f>výpočty!K8*výpočty!D36+výpočty!E60</f>
        <v>32.191794999999999</v>
      </c>
    </row>
    <row r="43" spans="1:8" ht="13.5" thickBot="1" x14ac:dyDescent="0.25">
      <c r="A43" s="420" t="s">
        <v>6</v>
      </c>
      <c r="B43" s="420"/>
      <c r="C43" s="421"/>
      <c r="D43" s="3">
        <f>výpočty!G8*výpočty!L33+4*výpočty!N33</f>
        <v>74.646879999999996</v>
      </c>
      <c r="E43" s="4">
        <f>výpočty!G9*výpočty!L34+4*výpočty!N34</f>
        <v>45.276469999999996</v>
      </c>
      <c r="F43" s="19">
        <f>výpočty!C44+výpočty!G16*výpočty!D43</f>
        <v>100.30852</v>
      </c>
      <c r="G43" s="19">
        <f>výpočty!C44+výpočty!G16*výpočty!C43</f>
        <v>91.68817</v>
      </c>
      <c r="H43" s="19">
        <f>výpočty!G10*výpočty!L33+výpočty!G11*výpočty!L38+4*výpočty!N37+výpočty!G12*výpočty!L39</f>
        <v>340.68933499999997</v>
      </c>
    </row>
    <row r="44" spans="1:8" s="1" customFormat="1" ht="18.75" thickBot="1" x14ac:dyDescent="0.3">
      <c r="A44" s="404" t="s">
        <v>5</v>
      </c>
      <c r="B44" s="405"/>
      <c r="C44" s="406"/>
      <c r="D44" s="13">
        <f>SUM(D40:D43)</f>
        <v>132.42998799999998</v>
      </c>
      <c r="E44" s="13">
        <f>SUM(E40:E43)</f>
        <v>103.05957799999999</v>
      </c>
      <c r="F44" s="20">
        <f>SUM(F40:F43)</f>
        <v>167.13077800000002</v>
      </c>
      <c r="G44" s="20">
        <f>SUM(G40:G43)</f>
        <v>145.55686400000002</v>
      </c>
      <c r="H44" s="20">
        <f>SUM(H40:H43)</f>
        <v>398.472443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390" t="s">
        <v>0</v>
      </c>
      <c r="B54" s="391"/>
      <c r="C54" s="392"/>
      <c r="D54" s="429" t="s">
        <v>2</v>
      </c>
      <c r="E54" s="429" t="s">
        <v>1</v>
      </c>
      <c r="F54" s="429" t="s">
        <v>4</v>
      </c>
      <c r="G54" s="429" t="s">
        <v>3</v>
      </c>
    </row>
    <row r="55" spans="1:7" ht="12.75" customHeight="1" thickBot="1" x14ac:dyDescent="0.25">
      <c r="A55" s="393"/>
      <c r="B55" s="394"/>
      <c r="C55" s="395"/>
      <c r="D55" s="430"/>
      <c r="E55" s="430"/>
      <c r="F55" s="430"/>
      <c r="G55" s="430"/>
    </row>
    <row r="56" spans="1:7" x14ac:dyDescent="0.2">
      <c r="A56" s="396" t="s">
        <v>7</v>
      </c>
      <c r="B56" s="397"/>
      <c r="C56" s="397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396" t="s">
        <v>8</v>
      </c>
      <c r="B57" s="397"/>
      <c r="C57" s="397"/>
      <c r="D57" s="8">
        <f>výpočty!I20*výpočty!G33</f>
        <v>6.1848480000000006</v>
      </c>
      <c r="E57" s="9">
        <f>výpočty!I21*výpočty!G33</f>
        <v>6.1848480000000006</v>
      </c>
      <c r="F57" s="9" t="e">
        <f>výpočty!I25*výpočty!I49</f>
        <v>#N/A</v>
      </c>
      <c r="G57" s="9">
        <f>výpočty!I22*výpočty!G33</f>
        <v>6.1848480000000006</v>
      </c>
    </row>
    <row r="58" spans="1:7" x14ac:dyDescent="0.2">
      <c r="A58" s="396" t="s">
        <v>9</v>
      </c>
      <c r="B58" s="397"/>
      <c r="C58" s="397"/>
      <c r="D58" s="10">
        <f>výpočty!K20*výpočty!D33+výpočty!E33</f>
        <v>16.558481</v>
      </c>
      <c r="E58" s="9">
        <f>výpočty!K21*výpočty!D33+výpočty!E33</f>
        <v>16.558481</v>
      </c>
      <c r="F58" s="9" t="e">
        <f>výpočty!K25*výpočty!E49+výpočty!F48</f>
        <v>#N/A</v>
      </c>
      <c r="G58" s="9">
        <f>výpočty!K22*výpočty!D33+výpočty!E33</f>
        <v>16.558481</v>
      </c>
    </row>
    <row r="59" spans="1:7" ht="13.5" thickBot="1" x14ac:dyDescent="0.25">
      <c r="A59" s="420" t="s">
        <v>6</v>
      </c>
      <c r="B59" s="420"/>
      <c r="C59" s="421"/>
      <c r="D59" s="11">
        <f>výpočty!G20*výpočty!L33+4*výpočty!N33</f>
        <v>74.646879999999996</v>
      </c>
      <c r="E59" s="12">
        <f>výpočty!G21*výpočty!L34+4*výpočty!N34</f>
        <v>45.276469999999996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171.55571</v>
      </c>
    </row>
    <row r="60" spans="1:7" s="1" customFormat="1" ht="18.75" thickBot="1" x14ac:dyDescent="0.3">
      <c r="A60" s="404" t="s">
        <v>5</v>
      </c>
      <c r="B60" s="405"/>
      <c r="C60" s="406"/>
      <c r="D60" s="13">
        <f>SUM(D56:D59)</f>
        <v>97.390208999999999</v>
      </c>
      <c r="E60" s="13">
        <f>SUM(E56:E59)</f>
        <v>68.019799000000006</v>
      </c>
      <c r="F60" s="13" t="e">
        <f>SUM(F56:F59)</f>
        <v>#N/A</v>
      </c>
      <c r="G60" s="13">
        <f>SUM(G56:G59)</f>
        <v>194.29903899999999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390" t="s">
        <v>0</v>
      </c>
      <c r="B64" s="391"/>
      <c r="C64" s="392"/>
      <c r="D64" s="429" t="s">
        <v>2</v>
      </c>
      <c r="E64" s="429" t="s">
        <v>1</v>
      </c>
      <c r="F64" s="429" t="s">
        <v>4</v>
      </c>
      <c r="G64" s="429" t="s">
        <v>3</v>
      </c>
    </row>
    <row r="65" spans="1:8" ht="12.75" customHeight="1" thickBot="1" x14ac:dyDescent="0.25">
      <c r="A65" s="393"/>
      <c r="B65" s="394"/>
      <c r="C65" s="395"/>
      <c r="D65" s="430"/>
      <c r="E65" s="430"/>
      <c r="F65" s="430"/>
      <c r="G65" s="430"/>
    </row>
    <row r="66" spans="1:8" x14ac:dyDescent="0.2">
      <c r="A66" s="396" t="s">
        <v>7</v>
      </c>
      <c r="B66" s="397"/>
      <c r="C66" s="397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396" t="s">
        <v>8</v>
      </c>
      <c r="B67" s="397"/>
      <c r="C67" s="397"/>
      <c r="D67" s="8">
        <f>výpočty!I20*výpočty!G34</f>
        <v>4.5669880000000003</v>
      </c>
      <c r="E67" s="9">
        <f>výpočty!I21*výpočty!G34</f>
        <v>4.5669880000000003</v>
      </c>
      <c r="F67" s="9">
        <f>výpočty!I25*výpočty!I48</f>
        <v>12.503451999999999</v>
      </c>
      <c r="G67" s="9">
        <f>výpočty!I22*výpočty!G34</f>
        <v>4.5669880000000003</v>
      </c>
    </row>
    <row r="68" spans="1:8" x14ac:dyDescent="0.2">
      <c r="A68" s="396" t="s">
        <v>9</v>
      </c>
      <c r="B68" s="397"/>
      <c r="C68" s="397"/>
      <c r="D68" s="10">
        <f>výpočty!K20*výpočty!D34+výpočty!E33</f>
        <v>15.416316000000002</v>
      </c>
      <c r="E68" s="9">
        <f>výpočty!K21*výpočty!D34+výpočty!E33</f>
        <v>15.416316000000002</v>
      </c>
      <c r="F68" s="9" t="e">
        <f>výpočty!K25*výpočty!E48+výpočty!F48</f>
        <v>#N/A</v>
      </c>
      <c r="G68" s="9">
        <f>výpočty!K22*výpočty!D34+výpočty!E33</f>
        <v>15.416316000000002</v>
      </c>
    </row>
    <row r="69" spans="1:8" ht="13.5" thickBot="1" x14ac:dyDescent="0.25">
      <c r="A69" s="420" t="s">
        <v>6</v>
      </c>
      <c r="B69" s="420"/>
      <c r="C69" s="421"/>
      <c r="D69" s="11">
        <f>výpočty!G20*výpočty!L33+4*výpočty!N33</f>
        <v>74.646879999999996</v>
      </c>
      <c r="E69" s="12">
        <f>výpočty!G21*výpočty!L34+4*výpočty!N34</f>
        <v>45.276469999999996</v>
      </c>
      <c r="F69" s="12">
        <f>výpočty!G25*výpočty!L33+výpočty!G26*výpočty!L41+4*výpočty!N41+výpočty!L45+výpočty!G27*výpočty!L44</f>
        <v>220.142315</v>
      </c>
      <c r="G69" s="12">
        <f>výpočty!G22*výpočty!L33+výpočty!G23*výpočty!L36+4*výpočty!N36+výpočty!G24*výpočty!L39</f>
        <v>157.22593499999999</v>
      </c>
    </row>
    <row r="70" spans="1:8" s="1" customFormat="1" ht="18.75" thickBot="1" x14ac:dyDescent="0.3">
      <c r="A70" s="404" t="s">
        <v>5</v>
      </c>
      <c r="B70" s="405"/>
      <c r="C70" s="406"/>
      <c r="D70" s="13">
        <f>SUM(D66:D69)</f>
        <v>94.630184</v>
      </c>
      <c r="E70" s="14">
        <f>SUM(E66:E69)</f>
        <v>65.259773999999993</v>
      </c>
      <c r="F70" s="15" t="e">
        <f>SUM(F66:F69)</f>
        <v>#N/A</v>
      </c>
      <c r="G70" s="15">
        <f>SUM(G66:G69)</f>
        <v>177.209239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390" t="s">
        <v>0</v>
      </c>
      <c r="B74" s="391"/>
      <c r="C74" s="392"/>
      <c r="D74" s="429" t="s">
        <v>2</v>
      </c>
      <c r="E74" s="429" t="s">
        <v>1</v>
      </c>
      <c r="F74" s="429" t="s">
        <v>4</v>
      </c>
      <c r="G74" s="429" t="s">
        <v>3</v>
      </c>
      <c r="H74" s="26" t="s">
        <v>4</v>
      </c>
    </row>
    <row r="75" spans="1:8" ht="12.75" customHeight="1" thickBot="1" x14ac:dyDescent="0.25">
      <c r="A75" s="393"/>
      <c r="B75" s="394"/>
      <c r="C75" s="395"/>
      <c r="D75" s="430"/>
      <c r="E75" s="430"/>
      <c r="F75" s="430"/>
      <c r="G75" s="430"/>
      <c r="H75" s="27" t="s">
        <v>436</v>
      </c>
    </row>
    <row r="76" spans="1:8" x14ac:dyDescent="0.2">
      <c r="A76" s="396" t="s">
        <v>7</v>
      </c>
      <c r="B76" s="397"/>
      <c r="C76" s="397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0.60260999999999998</v>
      </c>
      <c r="G76" s="6">
        <f>výpočty!O22*výpočty!C35+výpočty!F33*výpočty!M22</f>
        <v>0</v>
      </c>
      <c r="H76">
        <f>výpočty!O25*výpočty!C36+výpočty!F33*výpočty!M25</f>
        <v>0.60260999999999998</v>
      </c>
    </row>
    <row r="77" spans="1:8" x14ac:dyDescent="0.2">
      <c r="A77" s="396" t="s">
        <v>8</v>
      </c>
      <c r="B77" s="397"/>
      <c r="C77" s="397"/>
      <c r="D77" s="8">
        <f>výpočty!I20*výpočty!G35</f>
        <v>11.481813000000001</v>
      </c>
      <c r="E77" s="8">
        <f>výpočty!I21*výpočty!G35</f>
        <v>11.481813000000001</v>
      </c>
      <c r="F77" s="8">
        <f>výpočty!I25*výpočty!G40</f>
        <v>18.537687000000002</v>
      </c>
      <c r="G77" s="8">
        <f>výpočty!I22*výpočty!G35</f>
        <v>11.481813000000001</v>
      </c>
      <c r="H77">
        <f>výpočty!I25*výpočty!G41</f>
        <v>25.591313</v>
      </c>
    </row>
    <row r="78" spans="1:8" x14ac:dyDescent="0.2">
      <c r="A78" s="396" t="s">
        <v>9</v>
      </c>
      <c r="B78" s="397"/>
      <c r="C78" s="397"/>
      <c r="D78" s="8">
        <f>výpočty!K20*výpočty!D35+výpočty!E59</f>
        <v>26.291857</v>
      </c>
      <c r="E78" s="8">
        <f>výpočty!K21*výpočty!D35+výpočty!E59</f>
        <v>26.291857</v>
      </c>
      <c r="F78" s="8">
        <f>výpočty!N26*výpočty!D40+výpočty!E40</f>
        <v>26.291857</v>
      </c>
      <c r="G78" s="8">
        <f>výpočty!K22*výpočty!D35+výpočty!E59</f>
        <v>26.291857</v>
      </c>
      <c r="H78">
        <f>výpočty!N26*výpočty!D41+výpočty!E40</f>
        <v>32.191794999999999</v>
      </c>
    </row>
    <row r="79" spans="1:8" ht="13.5" thickBot="1" x14ac:dyDescent="0.25">
      <c r="A79" s="420" t="s">
        <v>6</v>
      </c>
      <c r="B79" s="420"/>
      <c r="C79" s="421"/>
      <c r="D79" s="3">
        <f>výpočty!G20*výpočty!L33+4*výpočty!N33</f>
        <v>74.646879999999996</v>
      </c>
      <c r="E79" s="4">
        <f>výpočty!G21*výpočty!L34+4*výpočty!N34</f>
        <v>45.276469999999996</v>
      </c>
      <c r="F79" s="3">
        <f>výpočty!G25*výpočty!L33+výpočty!G26*výpočty!L42+4*výpočty!N42+výpočty!L45+výpočty!G27*výpočty!L44</f>
        <v>322.74766499999998</v>
      </c>
      <c r="G79" s="5">
        <f>výpočty!G22*výpočty!L33+výpočty!G23*výpočty!L37+4*výpočty!N37+výpočty!G24*výpočty!L39</f>
        <v>241.58213499999999</v>
      </c>
      <c r="H79">
        <f>výpočty!G25*výpočty!L33+výpočty!G26*výpočty!L43+4*výpočty!N42+výpočty!L45+výpočty!G27*výpočty!L44</f>
        <v>448.02091499999995</v>
      </c>
    </row>
    <row r="80" spans="1:8" s="1" customFormat="1" ht="18.75" thickBot="1" x14ac:dyDescent="0.3">
      <c r="A80" s="404" t="s">
        <v>5</v>
      </c>
      <c r="B80" s="405"/>
      <c r="C80" s="406"/>
      <c r="D80" s="13">
        <f>SUM(D76:D79)</f>
        <v>112.42054999999999</v>
      </c>
      <c r="E80" s="13">
        <f>SUM(E76:E79)</f>
        <v>83.050139999999999</v>
      </c>
      <c r="F80" s="13">
        <f>SUM(F76:F79)</f>
        <v>368.17981899999995</v>
      </c>
      <c r="G80" s="13">
        <f>SUM(G76:G79)</f>
        <v>279.35580499999998</v>
      </c>
      <c r="H80" s="13">
        <f>SUM(H76:H79)</f>
        <v>506.40663299999994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390" t="s">
        <v>0</v>
      </c>
      <c r="B84" s="391"/>
      <c r="C84" s="392"/>
      <c r="D84" s="429" t="s">
        <v>2</v>
      </c>
      <c r="E84" s="429" t="s">
        <v>1</v>
      </c>
      <c r="F84" s="431" t="s">
        <v>389</v>
      </c>
      <c r="G84" s="431" t="s">
        <v>388</v>
      </c>
      <c r="H84" s="429" t="s">
        <v>3</v>
      </c>
    </row>
    <row r="85" spans="1:8" ht="12.75" customHeight="1" thickBot="1" x14ac:dyDescent="0.25">
      <c r="A85" s="393"/>
      <c r="B85" s="394"/>
      <c r="C85" s="395"/>
      <c r="D85" s="430"/>
      <c r="E85" s="430"/>
      <c r="F85" s="432"/>
      <c r="G85" s="432"/>
      <c r="H85" s="430"/>
    </row>
    <row r="86" spans="1:8" ht="13.5" thickBot="1" x14ac:dyDescent="0.25">
      <c r="A86" s="396" t="s">
        <v>7</v>
      </c>
      <c r="B86" s="397"/>
      <c r="C86" s="397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0.60260999999999998</v>
      </c>
      <c r="G86" s="19">
        <f>výpočty!O25*výpočty!C35+výpočty!F33*výpočty!M25</f>
        <v>0.60260999999999998</v>
      </c>
      <c r="H86" s="19">
        <f>výpočty!O20*výpočty!C36+výpočty!F33*výpočty!M20</f>
        <v>0</v>
      </c>
    </row>
    <row r="87" spans="1:8" ht="13.5" thickBot="1" x14ac:dyDescent="0.25">
      <c r="A87" s="396" t="s">
        <v>8</v>
      </c>
      <c r="B87" s="397"/>
      <c r="C87" s="397"/>
      <c r="D87" s="8">
        <f>výpočty!I20*výpočty!G36</f>
        <v>25.591313</v>
      </c>
      <c r="E87" s="8">
        <f>výpočty!I21*výpočty!G36</f>
        <v>25.591313</v>
      </c>
      <c r="F87" s="19">
        <f>výpočty!I25*výpočty!G41</f>
        <v>25.591313</v>
      </c>
      <c r="G87" s="19">
        <f>výpočty!I25*výpočty!G40</f>
        <v>18.537687000000002</v>
      </c>
      <c r="H87" s="19">
        <f>výpočty!I20*výpočty!G36</f>
        <v>25.591313</v>
      </c>
    </row>
    <row r="88" spans="1:8" ht="13.5" thickBot="1" x14ac:dyDescent="0.25">
      <c r="A88" s="396" t="s">
        <v>9</v>
      </c>
      <c r="B88" s="397"/>
      <c r="C88" s="397"/>
      <c r="D88" s="8">
        <f>výpočty!K20*výpočty!D36+výpočty!E60</f>
        <v>32.191794999999999</v>
      </c>
      <c r="E88" s="8">
        <f>výpočty!K21*výpočty!D36+výpočty!E60</f>
        <v>32.191794999999999</v>
      </c>
      <c r="F88" s="19">
        <f>výpočty!N26*výpočty!D41+výpočty!E40</f>
        <v>32.191794999999999</v>
      </c>
      <c r="G88" s="19">
        <f>výpočty!N26*výpočty!D40+výpočty!E40</f>
        <v>26.291857</v>
      </c>
      <c r="H88" s="19">
        <f>výpočty!K20*výpočty!D36+výpočty!E60</f>
        <v>32.191794999999999</v>
      </c>
    </row>
    <row r="89" spans="1:8" ht="13.5" thickBot="1" x14ac:dyDescent="0.25">
      <c r="A89" s="420" t="s">
        <v>6</v>
      </c>
      <c r="B89" s="420"/>
      <c r="C89" s="421"/>
      <c r="D89" s="3">
        <f>výpočty!G20*výpočty!L33+4*výpočty!N33</f>
        <v>74.646879999999996</v>
      </c>
      <c r="E89" s="4">
        <f>výpočty!G21*výpočty!L34+4*výpočty!N34</f>
        <v>45.276469999999996</v>
      </c>
      <c r="F89" s="19">
        <f>výpočty!G25*výpočty!L33+4*výpočty!N42+výpočty!C44+výpočty!G27*výpočty!D43</f>
        <v>178.22048000000001</v>
      </c>
      <c r="G89" s="19">
        <f>výpočty!G25*výpočty!L33+4*výpočty!N42+výpočty!C44+výpočty!G27*výpočty!C43</f>
        <v>169.60012999999998</v>
      </c>
      <c r="H89" s="19">
        <f>výpočty!G22*výpočty!L33+výpočty!G23*výpočty!L38+4*výpočty!N37+výpočty!G24*výpočty!L39</f>
        <v>340.68933499999997</v>
      </c>
    </row>
    <row r="90" spans="1:8" s="1" customFormat="1" ht="18.75" thickBot="1" x14ac:dyDescent="0.3">
      <c r="A90" s="404" t="s">
        <v>5</v>
      </c>
      <c r="B90" s="405"/>
      <c r="C90" s="406"/>
      <c r="D90" s="13">
        <f>SUM(D86:D89)</f>
        <v>132.42998799999998</v>
      </c>
      <c r="E90" s="13">
        <f>SUM(E86:E89)</f>
        <v>103.05957799999999</v>
      </c>
      <c r="F90" s="20">
        <f>SUM(F86:F89)</f>
        <v>236.60619800000001</v>
      </c>
      <c r="G90" s="20">
        <f>SUM(G86:G89)</f>
        <v>215.03228399999998</v>
      </c>
      <c r="H90" s="20">
        <f>SUM(H86:H89)</f>
        <v>398.472443</v>
      </c>
    </row>
  </sheetData>
  <sheetProtection selectLockedCells="1" selectUnlockedCells="1"/>
  <mergeCells count="82"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D38:D39"/>
    <mergeCell ref="E38:E39"/>
    <mergeCell ref="F38:F39"/>
    <mergeCell ref="G38:G39"/>
    <mergeCell ref="G18:G19"/>
    <mergeCell ref="F28:F29"/>
    <mergeCell ref="G28:G29"/>
    <mergeCell ref="D28:D29"/>
    <mergeCell ref="A40:C40"/>
    <mergeCell ref="A41:C41"/>
    <mergeCell ref="A42:C42"/>
    <mergeCell ref="A43:C43"/>
    <mergeCell ref="A38:C39"/>
    <mergeCell ref="F54:F55"/>
    <mergeCell ref="G54:G55"/>
    <mergeCell ref="A56:C56"/>
    <mergeCell ref="A57:C57"/>
    <mergeCell ref="A44:C44"/>
    <mergeCell ref="A54:C55"/>
    <mergeCell ref="D54:D55"/>
    <mergeCell ref="E54:E55"/>
    <mergeCell ref="E64:E65"/>
    <mergeCell ref="F64:F65"/>
    <mergeCell ref="G64:G65"/>
    <mergeCell ref="A58:C58"/>
    <mergeCell ref="A59:C59"/>
    <mergeCell ref="A60:C60"/>
    <mergeCell ref="A64:C65"/>
    <mergeCell ref="A66:C66"/>
    <mergeCell ref="A67:C67"/>
    <mergeCell ref="A68:C68"/>
    <mergeCell ref="A69:C69"/>
    <mergeCell ref="D64:D65"/>
    <mergeCell ref="G74:G75"/>
    <mergeCell ref="A76:C76"/>
    <mergeCell ref="A77:C77"/>
    <mergeCell ref="A70:C70"/>
    <mergeCell ref="A74:C75"/>
    <mergeCell ref="D74:D75"/>
    <mergeCell ref="E74:E75"/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63" t="str">
        <f>CONCATENATE(Překlady!$A$106,"/",Překlady!$A$105)</f>
        <v>Podane ceny nie zawierają podatku VAT i obowiązują od06.01.2025/Pion.25.02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5"/>
    </row>
    <row r="3" spans="2:31" x14ac:dyDescent="0.25">
      <c r="B3" s="466" t="str">
        <f>Překlady!$A$131</f>
        <v>Formularz zamowieniowy rolet Rehau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8"/>
      <c r="Z3" s="468"/>
      <c r="AA3" s="468"/>
      <c r="AB3" s="468"/>
      <c r="AC3" s="468"/>
      <c r="AD3" s="468"/>
      <c r="AE3" s="469"/>
    </row>
    <row r="4" spans="2:31" x14ac:dyDescent="0.25"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8"/>
      <c r="Z4" s="468"/>
      <c r="AA4" s="468"/>
      <c r="AB4" s="468"/>
      <c r="AC4" s="468"/>
      <c r="AD4" s="468"/>
      <c r="AE4" s="469"/>
    </row>
    <row r="5" spans="2:31" x14ac:dyDescent="0.25">
      <c r="B5" s="466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8"/>
      <c r="Z5" s="468"/>
      <c r="AA5" s="468"/>
      <c r="AB5" s="468"/>
      <c r="AC5" s="468"/>
      <c r="AD5" s="468"/>
      <c r="AE5" s="469"/>
    </row>
    <row r="6" spans="2:31" x14ac:dyDescent="0.25">
      <c r="B6" s="466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8"/>
      <c r="Z6" s="468"/>
      <c r="AA6" s="468"/>
      <c r="AB6" s="468"/>
      <c r="AC6" s="468"/>
      <c r="AD6" s="468"/>
      <c r="AE6" s="469"/>
    </row>
    <row r="7" spans="2:31" x14ac:dyDescent="0.25">
      <c r="B7" s="466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70"/>
      <c r="Z7" s="470"/>
      <c r="AA7" s="470"/>
      <c r="AB7" s="470"/>
      <c r="AC7" s="470"/>
      <c r="AD7" s="470"/>
      <c r="AE7" s="471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72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473"/>
      <c r="AA9" s="473"/>
      <c r="AB9" s="473"/>
      <c r="AC9" s="473"/>
      <c r="AD9" s="473"/>
      <c r="AE9" s="474"/>
    </row>
    <row r="10" spans="2:31" ht="5.25" customHeight="1" x14ac:dyDescent="0.25">
      <c r="B10" s="472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4"/>
    </row>
    <row r="11" spans="2:31" ht="18.75" x14ac:dyDescent="0.3">
      <c r="B11" s="475" t="str">
        <f>Překlady!A129</f>
        <v>Wpisz proszę dane kontaktowe i kliknij w okienko zamawianie żaluzji.</v>
      </c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7"/>
    </row>
    <row r="12" spans="2:31" ht="18.75" x14ac:dyDescent="0.3">
      <c r="B12" s="437" t="str">
        <f>Překlady!$A$130</f>
        <v>Poprzez zapisanie danych potwierdzasz, że zapoznałeś się z podanymi niżej informacjami!</v>
      </c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9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48" t="str">
        <f>Překlady!$A$4</f>
        <v>Nazwa</v>
      </c>
      <c r="C14" s="449"/>
      <c r="D14" s="449"/>
      <c r="E14" s="449"/>
      <c r="F14" s="449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1"/>
      <c r="AA14" s="269"/>
      <c r="AB14" s="454" t="str">
        <f>Překlady!A2</f>
        <v>Zamawianie żaluzji</v>
      </c>
      <c r="AC14" s="455"/>
      <c r="AD14" s="455"/>
      <c r="AE14" s="456"/>
    </row>
    <row r="15" spans="2:31" ht="18.75" customHeight="1" x14ac:dyDescent="0.25">
      <c r="B15" s="452" t="str">
        <f>Překlady!$A$128</f>
        <v>Adres</v>
      </c>
      <c r="C15" s="453"/>
      <c r="D15" s="453"/>
      <c r="E15" s="453"/>
      <c r="F15" s="453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3"/>
      <c r="AA15" s="269"/>
      <c r="AB15" s="457"/>
      <c r="AC15" s="458"/>
      <c r="AD15" s="458"/>
      <c r="AE15" s="459"/>
    </row>
    <row r="16" spans="2:31" ht="18.75" customHeight="1" x14ac:dyDescent="0.25">
      <c r="B16" s="440" t="str">
        <f>Překlady!$A$7</f>
        <v>NIP</v>
      </c>
      <c r="C16" s="441"/>
      <c r="D16" s="441"/>
      <c r="E16" s="441"/>
      <c r="F16" s="441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3"/>
      <c r="AA16" s="269"/>
      <c r="AB16" s="457"/>
      <c r="AC16" s="458"/>
      <c r="AD16" s="458"/>
      <c r="AE16" s="459"/>
    </row>
    <row r="17" spans="2:31" ht="18.75" customHeight="1" x14ac:dyDescent="0.25">
      <c r="B17" s="440" t="str">
        <f>Překlady!A126</f>
        <v>Telefon kontaktowy</v>
      </c>
      <c r="C17" s="441"/>
      <c r="D17" s="441"/>
      <c r="E17" s="441"/>
      <c r="F17" s="441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3"/>
      <c r="AA17" s="269"/>
      <c r="AB17" s="457"/>
      <c r="AC17" s="458"/>
      <c r="AD17" s="458"/>
      <c r="AE17" s="459"/>
    </row>
    <row r="18" spans="2:31" ht="18.75" customHeight="1" x14ac:dyDescent="0.25">
      <c r="B18" s="444" t="str">
        <f>Překlady!A127</f>
        <v>Adres e-mail</v>
      </c>
      <c r="C18" s="445"/>
      <c r="D18" s="445"/>
      <c r="E18" s="445"/>
      <c r="F18" s="445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7"/>
      <c r="AA18" s="269"/>
      <c r="AB18" s="460"/>
      <c r="AC18" s="461"/>
      <c r="AD18" s="461"/>
      <c r="AE18" s="462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86" t="str">
        <f>CONCATENATE(Překlady!A119," ",Překlady!A120)</f>
        <v>Zapisane zamówienie wyślij pod adres zamowienia@demos-trade.com</v>
      </c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7"/>
    </row>
    <row r="22" spans="2:31" ht="16.5" customHeight="1" x14ac:dyDescent="0.25">
      <c r="B22" s="282">
        <v>2</v>
      </c>
      <c r="C22" s="481" t="str">
        <f>Překlady!$A$122</f>
        <v>Do formularza należy zapisać wyłącznie rozmiary wewnętrzne szafki (rozmiary zewnętrzne służą do kontroli)</v>
      </c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2"/>
    </row>
    <row r="23" spans="2:31" ht="16.5" customHeight="1" x14ac:dyDescent="0.25">
      <c r="B23" s="282">
        <v>3</v>
      </c>
      <c r="C23" s="481" t="str">
        <f>Překlady!$A$123</f>
        <v>W wypadku, kiedy któraś z pozycji jest na zamówienie, minimalny odbiór wyłącznie w pełnych opakowaniach</v>
      </c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  <c r="AB23" s="481"/>
      <c r="AC23" s="481"/>
      <c r="AD23" s="481"/>
      <c r="AE23" s="482"/>
    </row>
    <row r="24" spans="2:31" ht="16.5" customHeight="1" x14ac:dyDescent="0.25">
      <c r="B24" s="282">
        <v>4</v>
      </c>
      <c r="C24" s="481" t="str">
        <f>Překlady!$A$125</f>
        <v>Formularz służy jako pomoc do konfiguracji, do właściwego działania rolety zawsze należy kierować się zaleceniami producenta (Rehau)</v>
      </c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2"/>
    </row>
    <row r="25" spans="2:31" ht="16.5" customHeight="1" x14ac:dyDescent="0.25">
      <c r="B25" s="282">
        <v>5</v>
      </c>
      <c r="C25" s="481" t="str">
        <f>Překlady!$A$124</f>
        <v>Do rolet pionowych powyżej 500mm zalecamy zastosowanie odpowiedniego mechanizmu (C3, C6, C8, Caddy)</v>
      </c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2"/>
    </row>
    <row r="26" spans="2:31" ht="37.5" customHeight="1" x14ac:dyDescent="0.25">
      <c r="B26" s="282">
        <v>6</v>
      </c>
      <c r="C26" s="481" t="str">
        <f>Překlady!$A$174</f>
        <v>Przy zastosowaniu nakładanego prowadzenia 29 mm do Metallic line w kombinacji z mechanizmem C3, prowadnice należy przygotować zgodnie z rysunkiem w zakładce Instrukcja</v>
      </c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2"/>
    </row>
    <row r="27" spans="2:31" ht="30" customHeight="1" x14ac:dyDescent="0.25">
      <c r="B27" s="282">
        <v>7</v>
      </c>
      <c r="C27" s="481" t="str">
        <f>Překlady!$A$132</f>
        <v>W formularzu nie zawsze są dokładnie podane ograniczenia maksymalnych rozmiarów szafki, należy zatem dotrzymywać zalecenia producenta (Rehau)</v>
      </c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2"/>
    </row>
    <row r="28" spans="2:31" ht="16.5" customHeight="1" x14ac:dyDescent="0.25">
      <c r="B28" s="282">
        <v>8</v>
      </c>
      <c r="C28" s="483" t="str">
        <f>Překlady!$A$135</f>
        <v>Maksymalna zalecana długość profili roletowych zapisanych w formularzu (szerokość maty roletowej) jest 1200 mm</v>
      </c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5"/>
    </row>
    <row r="29" spans="2:31" ht="16.5" customHeight="1" x14ac:dyDescent="0.25">
      <c r="B29" s="282">
        <v>9</v>
      </c>
      <c r="C29" s="481" t="str">
        <f>Překlady!$A$103</f>
        <v>Instrukcje montażu są dostępne na naszym portalu www.demos24plus.com</v>
      </c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2"/>
    </row>
    <row r="30" spans="2:31" ht="16.5" customHeight="1" x14ac:dyDescent="0.25">
      <c r="B30" s="282">
        <v>10</v>
      </c>
      <c r="C30" s="481" t="str">
        <f>Překlady!$A$121</f>
        <v>Formularz składa się z kilku stron, które można przełączać w dolnej części.</v>
      </c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2"/>
    </row>
    <row r="31" spans="2:31" ht="16.5" customHeight="1" x14ac:dyDescent="0.25">
      <c r="B31" s="282">
        <v>11</v>
      </c>
      <c r="C31" s="481" t="str">
        <f>Překlady!$A$118</f>
        <v>Prosimy korzystać zawsze z aktualnej wersji formularza umieszczonego na naszych stronach web.</v>
      </c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2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78" t="s">
        <v>1788</v>
      </c>
      <c r="Z32" s="479"/>
      <c r="AA32" s="479"/>
      <c r="AB32" s="479"/>
      <c r="AC32" s="479"/>
      <c r="AD32" s="479"/>
      <c r="AE32" s="480"/>
    </row>
  </sheetData>
  <sheetProtection algorithmName="SHA-512" hashValue="y56gZHq12PtJW4jFskySZ7P7KkyycW57vUuUHtLiJRKu1Ad4/ZVP7QtdVBU3mrq/I+8VJZ6s0tYqtruwd8oYGw==" saltValue="XrSjXBjH/BRk6GjAxZv09g==" spinCount="100000" sheet="1" objects="1" scenarios="1" selectLockedCells="1"/>
  <mergeCells count="29">
    <mergeCell ref="C26:AE26"/>
    <mergeCell ref="C21:AE21"/>
    <mergeCell ref="C22:AE22"/>
    <mergeCell ref="C23:AE23"/>
    <mergeCell ref="C24:AE24"/>
    <mergeCell ref="C25:AE25"/>
    <mergeCell ref="Y32:AE32"/>
    <mergeCell ref="C27:AE27"/>
    <mergeCell ref="C29:AE29"/>
    <mergeCell ref="C30:AE30"/>
    <mergeCell ref="C31:AE31"/>
    <mergeCell ref="C28:AE28"/>
    <mergeCell ref="B2:AE2"/>
    <mergeCell ref="B3:X7"/>
    <mergeCell ref="Y3:AE7"/>
    <mergeCell ref="B9:AE10"/>
    <mergeCell ref="B11:AE11"/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7" zoomScale="90" zoomScaleNormal="90" workbookViewId="0">
      <selection activeCell="D21" sqref="D21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18" t="str">
        <f>Překlady!$A$2</f>
        <v>Zamawianie żaluzji</v>
      </c>
      <c r="D2" s="519"/>
      <c r="E2" s="519"/>
      <c r="F2" s="519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20"/>
      <c r="D3" s="521"/>
      <c r="E3" s="521"/>
      <c r="F3" s="521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491" t="str">
        <f>Překlady!$A$3</f>
        <v xml:space="preserve">Klient </v>
      </c>
      <c r="D6" s="492"/>
      <c r="E6" s="492"/>
      <c r="F6" s="492"/>
      <c r="G6" s="211"/>
      <c r="I6" s="495" t="str">
        <f>Překlady!$A$15</f>
        <v>Rozmiar szafki</v>
      </c>
      <c r="J6" s="495"/>
      <c r="K6" s="495"/>
      <c r="L6" s="495"/>
      <c r="M6" s="494" t="str">
        <f>Překlady!$A$114</f>
        <v>wewnętrzne</v>
      </c>
      <c r="N6" s="494" t="str">
        <f>Překlady!$A$113</f>
        <v>kontrolne zewnętrzne</v>
      </c>
      <c r="O6" s="526"/>
    </row>
    <row r="7" spans="3:21" ht="15" customHeight="1" x14ac:dyDescent="0.2">
      <c r="C7" s="546" t="str">
        <f>Překlady!$A$137</f>
        <v>(zmianę danych można przeprowadzić na stronie wstępnej formularza)</v>
      </c>
      <c r="D7" s="547"/>
      <c r="E7" s="547"/>
      <c r="F7" s="547"/>
      <c r="G7" s="300"/>
      <c r="H7" s="221"/>
      <c r="I7" s="495"/>
      <c r="J7" s="495"/>
      <c r="K7" s="495"/>
      <c r="L7" s="495"/>
      <c r="M7" s="494"/>
      <c r="N7" s="524" t="str">
        <f>Překlady!$A$115</f>
        <v>(materiał gr. 18 mm)</v>
      </c>
      <c r="O7" s="525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Nazwa</v>
      </c>
      <c r="D9" s="496">
        <f>Úvod!G14</f>
        <v>0</v>
      </c>
      <c r="E9" s="497"/>
      <c r="F9" s="498"/>
      <c r="G9" s="221"/>
      <c r="H9" s="221"/>
      <c r="I9" s="493" t="str">
        <f>Překlady!$A$16</f>
        <v>wysokość (mm):</v>
      </c>
      <c r="J9" s="493"/>
      <c r="K9" s="493"/>
      <c r="L9" s="493"/>
      <c r="M9" s="250"/>
      <c r="N9" s="500">
        <f>M9+36</f>
        <v>36</v>
      </c>
      <c r="O9" s="501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Adres</v>
      </c>
      <c r="D11" s="496">
        <f>Úvod!G15</f>
        <v>0</v>
      </c>
      <c r="E11" s="497"/>
      <c r="F11" s="498"/>
      <c r="G11" s="221"/>
      <c r="H11" s="221"/>
      <c r="I11" s="493" t="str">
        <f>Překlady!$A$17</f>
        <v>szerokość (mm):</v>
      </c>
      <c r="J11" s="493"/>
      <c r="K11" s="493"/>
      <c r="L11" s="493"/>
      <c r="M11" s="250"/>
      <c r="N11" s="500">
        <f>M11+36</f>
        <v>36</v>
      </c>
      <c r="O11" s="501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NIP</v>
      </c>
      <c r="D13" s="496">
        <f>Úvod!G16</f>
        <v>0</v>
      </c>
      <c r="E13" s="497"/>
      <c r="F13" s="498"/>
      <c r="G13" s="221"/>
      <c r="H13" s="221"/>
      <c r="I13" s="493" t="str">
        <f>IF(T13&lt;Q13,Překlady!A89,Překlady!$A$18)</f>
        <v>głębokość (mm):</v>
      </c>
      <c r="J13" s="493"/>
      <c r="K13" s="493"/>
      <c r="L13" s="493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499">
        <f>M13</f>
        <v>0</v>
      </c>
      <c r="U13" s="499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Telefon kontaktowy</v>
      </c>
      <c r="D15" s="496">
        <f>Úvod!G17</f>
        <v>0</v>
      </c>
      <c r="E15" s="497"/>
      <c r="F15" s="498"/>
      <c r="G15" s="221"/>
      <c r="H15" s="221"/>
      <c r="I15" s="495" t="str">
        <f>Překlady!$A$19</f>
        <v>Kierunek ruchu</v>
      </c>
      <c r="J15" s="495"/>
      <c r="K15" s="495"/>
      <c r="L15" s="495"/>
      <c r="M15" s="495"/>
      <c r="N15" s="495"/>
      <c r="O15" s="522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Adres e-mail</v>
      </c>
      <c r="D17" s="496">
        <f>Úvod!G18</f>
        <v>0</v>
      </c>
      <c r="E17" s="497"/>
      <c r="F17" s="498"/>
      <c r="G17" s="221"/>
      <c r="H17" s="221"/>
      <c r="I17" s="539"/>
      <c r="J17" s="539"/>
      <c r="K17" s="511"/>
      <c r="L17" s="511"/>
      <c r="M17" s="511"/>
      <c r="N17" s="511"/>
      <c r="O17" s="530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495" t="str">
        <f>Překlady!$A$20</f>
        <v>Typ systemu prowadzenia</v>
      </c>
      <c r="J19" s="495"/>
      <c r="K19" s="495"/>
      <c r="L19" s="495"/>
      <c r="M19" s="495"/>
      <c r="N19" s="495"/>
      <c r="O19" s="522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Zniżka</v>
      </c>
      <c r="D21" s="231">
        <v>0</v>
      </c>
      <c r="E21" s="245" t="str">
        <f>Překlady!$A$11</f>
        <v xml:space="preserve">Ilość szt. </v>
      </c>
      <c r="F21" s="231"/>
      <c r="G21" s="301"/>
      <c r="H21" s="221"/>
      <c r="I21" s="529"/>
      <c r="J21" s="529"/>
      <c r="K21" s="511"/>
      <c r="L21" s="511"/>
      <c r="M21" s="511"/>
      <c r="N21" s="511"/>
      <c r="O21" s="530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27" t="str">
        <f>Překlady!$A$12</f>
        <v>Przygotować żaluzje na miarę?</v>
      </c>
      <c r="D23" s="528"/>
      <c r="E23" s="552"/>
      <c r="F23" s="553"/>
      <c r="G23" s="288"/>
      <c r="H23" s="221"/>
      <c r="I23" s="495" t="str">
        <f>Překlady!$A$21</f>
        <v>Kolor</v>
      </c>
      <c r="J23" s="495"/>
      <c r="K23" s="495"/>
      <c r="L23" s="495"/>
      <c r="M23" s="495"/>
      <c r="N23" s="495"/>
      <c r="O23" s="522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27" t="str">
        <f>IF(VEDENI=5,IF(NAVIJENI&lt;3,Překlady!A90,Překlady!A14),Překlady!A14)</f>
        <v>System nawijania</v>
      </c>
      <c r="D25" s="528"/>
      <c r="E25" s="552"/>
      <c r="F25" s="553"/>
      <c r="G25" s="288"/>
      <c r="H25" s="221"/>
      <c r="I25" s="540"/>
      <c r="J25" s="540"/>
      <c r="K25" s="541"/>
      <c r="L25" s="541"/>
      <c r="M25" s="541"/>
      <c r="N25" s="541"/>
      <c r="O25" s="542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8" t="str">
        <f>IF(VLOOKUP(CHYBY!$Q$6,CHYBY!$L:$N,3,FALSE)=1,"",TRIM(CONCATENATE(CHYBY!U11," ",CHYBY!U12," ",CHYBY!U13," ",CHYBY!U14," ",CHYBY!U15)))</f>
        <v/>
      </c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90"/>
    </row>
    <row r="28" spans="1:20" ht="45" customHeight="1" x14ac:dyDescent="0.2">
      <c r="C28" s="488" t="str">
        <f>VLOOKUP(CHYBY!$Q$6,CHYBY!L:M,2,FALSE)</f>
        <v/>
      </c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90"/>
    </row>
    <row r="29" spans="1:20" x14ac:dyDescent="0.2">
      <c r="C29" s="533" t="str">
        <f>Překlady!$A$22</f>
        <v>Kod</v>
      </c>
      <c r="D29" s="535" t="str">
        <f>Překlady!$A$23</f>
        <v>Sortyment</v>
      </c>
      <c r="E29" s="536"/>
      <c r="F29" s="536"/>
      <c r="G29" s="537"/>
      <c r="H29" s="535" t="str">
        <f>Překlady!$A$24</f>
        <v xml:space="preserve">Ilość </v>
      </c>
      <c r="I29" s="536"/>
      <c r="J29" s="559" t="str">
        <f>Překlady!$A$107</f>
        <v>JM</v>
      </c>
      <c r="K29" s="531" t="str">
        <f>Překlady!$A$25</f>
        <v>Cena za sztukę</v>
      </c>
      <c r="L29" s="536"/>
      <c r="M29" s="531" t="str">
        <f>Překlady!$A$26</f>
        <v>Cena bez VAT</v>
      </c>
      <c r="N29" s="531" t="str">
        <f>Překlady!$A$27</f>
        <v>Kod dostawy</v>
      </c>
      <c r="O29" s="543" t="s">
        <v>1520</v>
      </c>
    </row>
    <row r="30" spans="1:20" x14ac:dyDescent="0.2">
      <c r="C30" s="534"/>
      <c r="D30" s="532"/>
      <c r="E30" s="532"/>
      <c r="F30" s="532"/>
      <c r="G30" s="538"/>
      <c r="H30" s="532"/>
      <c r="I30" s="532"/>
      <c r="J30" s="560"/>
      <c r="K30" s="532"/>
      <c r="L30" s="532"/>
      <c r="M30" s="532"/>
      <c r="N30" s="545"/>
      <c r="O30" s="544"/>
      <c r="Q30" s="205" t="s">
        <v>21</v>
      </c>
      <c r="R30" s="205" t="s">
        <v>1935</v>
      </c>
    </row>
    <row r="31" spans="1:20" ht="15.75" customHeight="1" x14ac:dyDescent="0.2">
      <c r="C31" s="556" t="str">
        <f>Překlady!$A$28</f>
        <v>Profil rolety</v>
      </c>
      <c r="D31" s="557"/>
      <c r="E31" s="557"/>
      <c r="F31" s="557"/>
      <c r="G31" s="557"/>
      <c r="H31" s="557"/>
      <c r="I31" s="557"/>
      <c r="J31" s="557"/>
      <c r="K31" s="557"/>
      <c r="L31" s="557"/>
      <c r="M31" s="557"/>
      <c r="N31" s="557"/>
      <c r="O31" s="558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51" t="str">
        <f>IF(VLOOKUP(CHYBY!$Q$6,CHYBY!$L:$N,3,FALSE)=1,"",IF(AND(VEDENI=3,BARVA=5),Překlady!A84,IF(P32=0,výpočty!AO5,CONCATENATE(výpočty!AO5," (X",P32,")"))))</f>
        <v>Roletowy profil E23 czarny (X-9)</v>
      </c>
      <c r="E32" s="551"/>
      <c r="F32" s="551"/>
      <c r="G32" s="551"/>
      <c r="H32" s="523">
        <f>IF(VLOOKUP(CHYBY!$Q$6,CHYBY!L:N,3,FALSE)=1,"",IF(výpočty!S26=2,0,
IF(SMER=1,výpočty!AR5,výpočty!AR6)))</f>
        <v>0</v>
      </c>
      <c r="I32" s="523"/>
      <c r="J32" s="275" t="str">
        <f>IF(VLOOKUP(CHYBY!$Q$6,CHYBY!$L:$N,3,FALSE)=1,"",IF(výpočty!S26=2,0,VLOOKUP(C32,výpočty!$Z$246:$AK$508,12,0)))</f>
        <v>MB</v>
      </c>
      <c r="K32" s="515">
        <f>IF(VLOOKUP(CHYBY!$Q$6,CHYBY!$L:$N,3,FALSE)=1,"",IF(výpočty!S26=2,0,výpočty!AT5))</f>
        <v>19.28388</v>
      </c>
      <c r="L32" s="507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55" t="str">
        <f>IF(VLOOKUP(CHYBY!$Q$6,CHYBY!$L:$N,3,FALSE)=1,"",IF(P33=0,výpočty!AO7,CONCATENATE(výpočty!AO7," (X",P33,")")))</f>
        <v xml:space="preserve"> </v>
      </c>
      <c r="E33" s="555"/>
      <c r="F33" s="555"/>
      <c r="G33" s="555"/>
      <c r="H33" s="516">
        <f>IF(VLOOKUP(CHYBY!$Q$6,CHYBY!$L:$N,3,FALSE)=1,"",IF(výpočty!S28=2,0,výpočty!AR7))</f>
        <v>0</v>
      </c>
      <c r="I33" s="516"/>
      <c r="J33" s="278">
        <f>IF(VLOOKUP(CHYBY!$Q$6,CHYBY!$L:$N,3,FALSE)=1,"",IF(výpočty!S28=2,0,VLOOKUP(C33,výpočty!$Z$246:$AK$508,12,0)))</f>
        <v>0</v>
      </c>
      <c r="K33" s="505" t="str">
        <f>IF(VLOOKUP(CHYBY!$Q$6,CHYBY!$L:$N,3,FALSE)=1,"",IF(výpočty!S28=2,0,výpočty!AT7))</f>
        <v xml:space="preserve"> </v>
      </c>
      <c r="L33" s="506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 xml:space="preserve">Listwa końcowa 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R88198</v>
      </c>
      <c r="D35" s="551" t="str">
        <f>IF(VLOOKUP(CHYBY!$Q$6,CHYBY!$L:$N,3,FALSE)=1,"",IF(P35=0,VLOOKUP(C:C,výpočty!$AA$2:$AB$245,2,FALSE),CONCATENATE(VLOOKUP(C:C,výpočty!$AA$2:$AB$245,2,FALSE)," (X",P35,")")))</f>
        <v>Listwa końcowa czarna (X-30)</v>
      </c>
      <c r="E35" s="551"/>
      <c r="F35" s="551"/>
      <c r="G35" s="551"/>
      <c r="H35" s="523">
        <f>IF(VLOOKUP(CHYBY!$Q$6,CHYBY!$L:$N,3,FALSE)=1,"",IF(výpočty!S32=2,0,
IF(VEDENI=3,výpočty!AR13,
IF(SMER=1,výpočty!AR11,výpočty!AR12))))</f>
        <v>0</v>
      </c>
      <c r="I35" s="523"/>
      <c r="J35" s="275" t="str">
        <f>IF(VLOOKUP(CHYBY!$Q$6,CHYBY!$L:$N,3,FALSE)=1,"",IF(výpočty!S32=2,0,VLOOKUP(C35,výpočty!$Z$246:$AK$508,12,0)))</f>
        <v>MB</v>
      </c>
      <c r="K35" s="515">
        <f>IF(VLOOKUP(CHYBY!$Q$6,CHYBY!$L:$N,3,FALSE)=1,"",IF(výpočty!S32=2,0,IF(VEDENI=3,výpočty!AT13,výpočty!AT11)))</f>
        <v>69.139859999999999</v>
      </c>
      <c r="L35" s="507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-30</v>
      </c>
      <c r="Q35" s="205">
        <f>IF(S35=0,0,IF(SMER=1,IF('Objednávka žaluzií'!S35=1,$S$11,$S$9),IF(S35=2,$S$11,$S$9)))</f>
        <v>0</v>
      </c>
      <c r="R35" s="205">
        <f>VLOOKUP(C35,výpočty!$AA:$AM,(5+VEDENI),0)</f>
        <v>-30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 xml:space="preserve"> </v>
      </c>
      <c r="D36" s="554" t="str">
        <f>IF(VLOOKUP(CHYBY!$Q$6,CHYBY!$L:$N,3,FALSE)=1,"",IF(P36=0,
IF(VEDENI=3,výpočty!AO14," "),CONCATENATE(IF(VEDENI=3,výpočty!AO14," ")," (X",P36,")")))</f>
        <v xml:space="preserve"> </v>
      </c>
      <c r="E36" s="554"/>
      <c r="F36" s="554"/>
      <c r="G36" s="554"/>
      <c r="H36" s="517" t="str">
        <f>IF(VLOOKUP(CHYBY!$Q$6,CHYBY!$L:$N,3,FALSE)=1,"",IF(výpočty!S34=2,0,IF(VEDENI=3,výpočty!AR14," ")))</f>
        <v xml:space="preserve"> </v>
      </c>
      <c r="I36" s="517"/>
      <c r="J36" s="229">
        <f>IF(VLOOKUP(CHYBY!$Q$6,CHYBY!$L:$N,3,FALSE)=1,"",IF(výpočty!S34=2,0,VLOOKUP(C36,výpočty!$Z:$AK,12,0)))</f>
        <v>0</v>
      </c>
      <c r="K36" s="512" t="str">
        <f>IF(VLOOKUP(CHYBY!$Q$6,CHYBY!$L:$N,3,FALSE)=1,"",IF(výpočty!S34=2,0,IF(VEDENI=3,výpočty!AT14," ")))</f>
        <v xml:space="preserve"> </v>
      </c>
      <c r="L36" s="513"/>
      <c r="M36" s="365" t="str">
        <f>IF(VLOOKUP(CHYBY!$Q$6,CHYBY!$L:$N,3,FALSE)=1,"",IF(výpočty!S34=2,"",IF(VEDENI=3,výpočty!AV14,"")))</f>
        <v/>
      </c>
      <c r="N36" s="217">
        <f>IF(VLOOKUP(CHYBY!$Q$6,CHYBY!$L:$N,3,FALSE)=1,"",IF(výpočty!S34=2,0,VLOOKUP(C36,výpočty!$Z$246:$AJ$508,11,0)))</f>
        <v>0</v>
      </c>
      <c r="O36" s="298"/>
      <c r="P36" s="218">
        <f>IF(výpočty!S34=2,0,IF(PRIPRAVA=1,Q36+R36,0))</f>
        <v>0</v>
      </c>
      <c r="Q36" s="205">
        <f>IF(S36=0,0,IF(SMER=1,IF('Objednávka žaluzií'!S36=1,$S$11,$S$9),IF(S36=2,$S$11,$S$9)))</f>
        <v>0</v>
      </c>
      <c r="R36" s="205">
        <f>VLOOKUP(C36,výpočty!$AA:$AM,(5+VEDENI),0)</f>
        <v>0</v>
      </c>
      <c r="S36" s="205">
        <f>VLOOKUP('Objednávka žaluzií'!C36,výpočty!$AA:$AM,11,0)</f>
        <v>0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R95974</v>
      </c>
      <c r="D37" s="554" t="str">
        <f>IF(VLOOKUP(CHYBY!$Q$6,CHYBY!$L:$N,3,FALSE)=1,"",VLOOKUP(C:C,výpočty!$AA$2:$AB$245,2,FALSE))</f>
        <v>Ślizgacz 8mm z hamulcem czarny</v>
      </c>
      <c r="E37" s="554"/>
      <c r="F37" s="554"/>
      <c r="G37" s="554"/>
      <c r="H37" s="517">
        <f>IF(VLOOKUP(CHYBY!$Q$6,CHYBY!$L:$N,3,FALSE)=1,"",IF(výpočty!S36=2,0,IF(VEDENI=3,výpočty!AR15,výpočty!AR16)))</f>
        <v>0</v>
      </c>
      <c r="I37" s="517"/>
      <c r="J37" s="229" t="str">
        <f>IF(VLOOKUP(CHYBY!$Q$6,CHYBY!$L:$N,3,FALSE)=1,"",IF(výpočty!S36=2,0,VLOOKUP(C37,výpočty!$Z$246:$AK$508,12,0)))</f>
        <v>PAR.</v>
      </c>
      <c r="K37" s="512">
        <f>IF(VLOOKUP(CHYBY!$Q$6,CHYBY!$L:$N,3,FALSE)=1,"",
IF(výpočty!S36=2,0,
IF(VEDENI=3,výpočty!AT15,výpočty!AT16)))</f>
        <v>18.350619999999999</v>
      </c>
      <c r="L37" s="51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509">
        <f>IF(VLOOKUP(CHYBY!$Q$6,CHYBY!$L:$N,3,FALSE)=1,"",VLOOKUP(C38,výpočty!$AA$240:$AD$242,2,0))</f>
        <v>0</v>
      </c>
      <c r="E38" s="509"/>
      <c r="F38" s="509"/>
      <c r="G38" s="509"/>
      <c r="H38" s="517">
        <f>IF(VLOOKUP(CHYBY!$Q$6,CHYBY!$L:$N,3,FALSE)=1,"",IF(výpočty!S60=2,0,IF(C38=výpočty!AA242,2*'Objednávka žaluzií'!F21,0)))</f>
        <v>0</v>
      </c>
      <c r="I38" s="517"/>
      <c r="J38" s="229">
        <f>IF(VLOOKUP(CHYBY!$Q$6,CHYBY!$L:$N,3,FALSE)=1,"",IF(výpočty!S60=2,0,VLOOKUP(C38,výpočty!$Z$246:$AK$508,12,0)))</f>
        <v>0</v>
      </c>
      <c r="K38" s="512">
        <f>IF(VLOOKUP(CHYBY!$Q$6,CHYBY!$L:$N,3,FALSE)=1,"",IF(výpočty!S60=2,0,VLOOKUP(C38,výpočty!$AA$240:$AD$242,3,0)))</f>
        <v>0</v>
      </c>
      <c r="L38" s="51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8" t="str">
        <f>IF(VLOOKUP(CHYBY!$Q$6,CHYBY!$L:$N,3,FALSE)=1,"",IF(P39=0,T39,
IF(T39=0,0,CONCATENATE(T39," (X",P39,")"))))</f>
        <v>Środkowa listwa uchwytowa C3-uni czar. (X-9)</v>
      </c>
      <c r="E39" s="549"/>
      <c r="F39" s="549"/>
      <c r="G39" s="550"/>
      <c r="H39" s="516">
        <f>IF(VLOOKUP(CHYBY!$Q$6,CHYBY!$L:$N,3,FALSE)=1,"",IF(výpočty!S62=2,0,IF(C39=" ",0,IF(C39=0,0,IF(VEDENI=3,výpočty!AR13,IF(SMER=1,výpočty!AR11,výpočty!AR12))))))</f>
        <v>0</v>
      </c>
      <c r="I39" s="516"/>
      <c r="J39" s="278" t="str">
        <f>IF(VLOOKUP(CHYBY!$Q$6,CHYBY!$L:$N,3,FALSE)=1,"",IF(výpočty!S62=2,0,VLOOKUP(C39,výpočty!Z247:AK508,12,0)))</f>
        <v>MB</v>
      </c>
      <c r="K39" s="505">
        <f>IF(VLOOKUP(CHYBY!$Q$6,CHYBY!$L:$N,3,FALSE)=1,"",IF(výpočty!S62=2,0,VLOOKUP(C39,výpočty!AA3:AC242,3,0)))</f>
        <v>42.180149999999998</v>
      </c>
      <c r="L39" s="506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509" t="str">
        <f>VLOOKUP(C39,výpočty!AA3:AB242,2,0)</f>
        <v>Środkowa listwa uchwytowa C3-uni czar.</v>
      </c>
      <c r="U39" s="509"/>
      <c r="V39" s="509"/>
      <c r="W39" s="509"/>
    </row>
    <row r="40" spans="1:23" ht="15.75" customHeight="1" x14ac:dyDescent="0.2">
      <c r="C40" s="370" t="str">
        <f>Překlady!$A$30</f>
        <v>Listwa maskująca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R95793</v>
      </c>
      <c r="D41" s="551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Listwa maskująca uni czarna (X-26)</v>
      </c>
      <c r="E41" s="551"/>
      <c r="F41" s="551"/>
      <c r="G41" s="551"/>
      <c r="H41" s="523">
        <f>IF(VLOOKUP(CHYBY!$Q$6,CHYBY!$L:$N,3,FALSE)=1,"",IF(výpočty!S39=2,0,IF(VEDENI=3,výpočty!AR24,IF(VEDENI=5,výpočty!AR26,IF(SMER=1,výpočty!AR22,výpočty!AR23)))))</f>
        <v>0</v>
      </c>
      <c r="I41" s="523"/>
      <c r="J41" s="275" t="str">
        <f>IF(VLOOKUP(CHYBY!$Q$6,CHYBY!$L:$N,3,FALSE)=1,"",IF(výpočty!S39=2,0,VLOOKUP(C41,výpočty!$Z$246:$AK$508,12,0)))</f>
        <v>MB</v>
      </c>
      <c r="K41" s="515">
        <f>IF(VLOOKUP(CHYBY!$Q$6,CHYBY!$L:$N,3,FALSE)=1,"",IF(výpočty!S39=2,0,IF(C41=výpočty!AA39,výpočty!AC39,(IF(VEDENI=3,výpočty!AT24,IF(VEDENI=5,výpočty!AT26,výpočty!AT22))))))</f>
        <v>45.669879999999999</v>
      </c>
      <c r="L41" s="507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-26</v>
      </c>
      <c r="Q41" s="205">
        <f>IF(S41=0,0,IF(SMER=1,IF('Objednávka žaluzií'!S41=1,$S$11,$S$9),IF(S41=2,$S$11,$S$9)))</f>
        <v>0</v>
      </c>
      <c r="R41" s="205">
        <f>VLOOKUP(C41,výpočty!$AA:$AM,(5+VEDENI),0)</f>
        <v>-26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R95793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 xml:space="preserve"> </v>
      </c>
      <c r="D42" s="555" t="str">
        <f>IF(VLOOKUP(CHYBY!$Q$6,CHYBY!$L:$N,3,FALSE)=1,"",IF(P42=0,
IF(VEDENI=3,výpočty!AO25," "),CONCATENATE(IF(VEDENI=3,výpočty!AO25," ")," (X",P42,")")))</f>
        <v xml:space="preserve"> </v>
      </c>
      <c r="E42" s="555"/>
      <c r="F42" s="555"/>
      <c r="G42" s="555"/>
      <c r="H42" s="516" t="str">
        <f>IF(VLOOKUP(CHYBY!$Q$6,CHYBY!$L:$N,3,FALSE)=1,"",IF(výpočty!S41=2,0,IF(VEDENI=3,výpočty!AR25," ")))</f>
        <v xml:space="preserve"> </v>
      </c>
      <c r="I42" s="516"/>
      <c r="J42" s="278">
        <f>IF(VLOOKUP(CHYBY!$Q$6,CHYBY!$L:$N,3,FALSE)=1,"",IF(výpočty!S41=2,0,VLOOKUP(C42,výpočty!$Z$246:$AK$508,12,0)))</f>
        <v>0</v>
      </c>
      <c r="K42" s="505" t="str">
        <f>IF(VLOOKUP(CHYBY!$Q$6,CHYBY!$L:$N,3,FALSE)=1,"",IF(výpočty!S41=2,0,IF(VEDENI=3,výpočty!AT25," ")))</f>
        <v xml:space="preserve"> </v>
      </c>
      <c r="L42" s="506"/>
      <c r="M42" s="369" t="str">
        <f>IF(VLOOKUP(CHYBY!$Q$6,CHYBY!$L:$N,3,FALSE)=1,"",IF(výpočty!S41=2,"",IF(VEDENI=3,výpočty!AV25,"")))</f>
        <v/>
      </c>
      <c r="N42" s="279">
        <f>IF(VLOOKUP(CHYBY!$Q$6,CHYBY!$L:$N,3,FALSE)=1,"",IF(výpočty!S41=2,0,VLOOKUP(C42,výpočty!$Z$246:$AJ$508,11,0)))</f>
        <v>0</v>
      </c>
      <c r="O42" s="297"/>
      <c r="P42" s="218">
        <f>IF(výpočty!S41=2,0,IF(PRIPRAVA=1,Q42+R42,0))</f>
        <v>0</v>
      </c>
      <c r="Q42" s="205">
        <f>IF(S42=0,0,IF(SMER=1,IF('Objednávka žaluzií'!S42=1,$S$11,$S$9),IF(S42=2,$S$11,$S$9)))</f>
        <v>0</v>
      </c>
      <c r="R42" s="205">
        <f>VLOOKUP(C42,výpočty!$AA:$AM,(5+VEDENI),0)</f>
        <v>0</v>
      </c>
      <c r="S42" s="205">
        <f>VLOOKUP('Objednávka žaluzií'!C42,výpočty!$AA:$AM,11,0)</f>
        <v>0</v>
      </c>
    </row>
    <row r="43" spans="1:23" ht="15.75" customHeight="1" x14ac:dyDescent="0.2">
      <c r="C43" s="370" t="str">
        <f>Překlady!$A$31</f>
        <v>Listwa torowa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51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Listwa tor. na wkręt czarna (X-49)</v>
      </c>
      <c r="E44" s="551"/>
      <c r="F44" s="551"/>
      <c r="G44" s="551"/>
      <c r="H44" s="523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23"/>
      <c r="J44" s="275" t="str">
        <f>IF(VLOOKUP(CHYBY!$Q$6,CHYBY!$L:$N,3,FALSE)=1,"",IF(výpočty!S43=2,0,VLOOKUP(C44,výpočty!$Z$246:$AK$508,12,0)))</f>
        <v>MB</v>
      </c>
      <c r="K44" s="507">
        <f>IF(VLOOKUP(CHYBY!$Q$6,CHYBY!$L:$N,3,FALSE)=1,"",IF(výpočty!S43=2,0,IF(VEDENI=2,IF(NAVIJENI=3," ",výpočty!AT41),IF(VEDENI=5," ",IF(VEDENI&gt;2,IF(NAVIJENI&gt;1," ",výpočty!AT30),výpočty!AT30)))))</f>
        <v>20.510159999999999</v>
      </c>
      <c r="L44" s="507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-49</v>
      </c>
      <c r="Q44" s="205">
        <f>IF(S44=0,0,IF(SMER=1,IF('Objednávka žaluzií'!S44=1,$S$11,$S$9),IF(S44=2,$S$11,$S$9)))</f>
        <v>0</v>
      </c>
      <c r="R44" s="205" t="str">
        <f>VLOOKUP(C44,výpočty!$AA:$AM,(5+VEDENI),0)</f>
        <v>-49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 xml:space="preserve"> </v>
      </c>
      <c r="D45" s="509" t="str">
        <f>IF(VLOOKUP(CHYBY!$Q$6,CHYBY!$L:$N,3,FALSE)=1,"",IF(P45=0,IF(VEDENI&gt;2,výpočty!AO52," "),CONCATENATE(IF(VEDENI&gt;2,výpočty!AO52," ")," (X",P45,")")))</f>
        <v xml:space="preserve"> </v>
      </c>
      <c r="E45" s="509"/>
      <c r="F45" s="509"/>
      <c r="G45" s="509"/>
      <c r="H45" s="508" t="str">
        <f>IF(VLOOKUP(CHYBY!$Q$6,CHYBY!$L:$N,3,FALSE)=1,"",IF(výpočty!S45=2,0,IF(VEDENI&gt;2,výpočty!AR52," ")))</f>
        <v xml:space="preserve"> </v>
      </c>
      <c r="I45" s="508"/>
      <c r="J45" s="229">
        <f>IF(VLOOKUP(CHYBY!$Q$6,CHYBY!$L:$N,3,FALSE)=1,"",IF(výpočty!S45=2,0,VLOOKUP(C45,výpočty!$Z$246:$AK$508,12,0)))</f>
        <v>0</v>
      </c>
      <c r="K45" s="514" t="str">
        <f>IF(VLOOKUP(CHYBY!$Q$6,CHYBY!$L:$N,3,FALSE)=1,"",IF(výpočty!S45=2,0,IF(VEDENI&gt;2,výpočty!AT52," ")))</f>
        <v xml:space="preserve"> </v>
      </c>
      <c r="L45" s="514"/>
      <c r="M45" s="365" t="str">
        <f>IF(VLOOKUP(CHYBY!$Q$6,CHYBY!$L:$N,3,FALSE)=1,"",IF(C25=Překlady!A90,D45,IF(výpočty!S45=2,"",IF(VEDENI&gt;2,výpočty!AV52,""))))</f>
        <v/>
      </c>
      <c r="N45" s="217">
        <f>IF(VLOOKUP(CHYBY!$Q$6,CHYBY!$L:$N,3,FALSE)=1,"",IF(výpočty!S45=2,0,VLOOKUP(C45,výpočty!$Z$246:$AJ$508,11,0)))</f>
        <v>0</v>
      </c>
      <c r="O45" s="297"/>
      <c r="P45" s="218">
        <f>IF(výpočty!S45=2,0,IF(PRIPRAVA=1,Q45+R45,0))</f>
        <v>0</v>
      </c>
      <c r="Q45" s="205">
        <f>IF(S45=0,0,IF(SMER=1,IF('Objednávka žaluzií'!S45=1,$S$11,$S$9),IF(S45=2,$S$11,$S$9)))</f>
        <v>0</v>
      </c>
      <c r="R45" s="205">
        <f>VLOOKUP(C45,výpočty!$AA:$AM,(5+VEDENI),0)</f>
        <v>0</v>
      </c>
      <c r="S45" s="205">
        <f>VLOOKUP('Objednávka žaluzií'!C45,výpočty!$AA:$AM,11,0)</f>
        <v>0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 xml:space="preserve"> </v>
      </c>
      <c r="D46" s="509" t="str">
        <f>IF(VLOOKUP(CHYBY!$Q$6,CHYBY!$L:$N,3,FALSE)=1,"",IF(P46=0,IF(VEDENI&gt;2,výpočty!AO53," "),CONCATENATE(IF(VEDENI&gt;2,výpočty!AO53," ")," (X",P46,")")))</f>
        <v xml:space="preserve"> </v>
      </c>
      <c r="E46" s="509"/>
      <c r="F46" s="509"/>
      <c r="G46" s="509"/>
      <c r="H46" s="508" t="str">
        <f>IF(VLOOKUP(CHYBY!$Q$6,CHYBY!$L:$N,3,FALSE)=1,"",IF(výpočty!S47=2,0,IF(VEDENI&gt;2,výpočty!AR53," ")))</f>
        <v xml:space="preserve"> </v>
      </c>
      <c r="I46" s="508"/>
      <c r="J46" s="229">
        <f>IF(VLOOKUP(CHYBY!$Q$6,CHYBY!$L:$N,3,FALSE)=1,"",IF(výpočty!S47=2,0,VLOOKUP(C46,výpočty!$Z$246:$AK$508,12,0)))</f>
        <v>0</v>
      </c>
      <c r="K46" s="514" t="str">
        <f>IF(VLOOKUP(CHYBY!$Q$6,CHYBY!$L:$N,3,FALSE)=1,"",IF(výpočty!S47=2,0,IF(VEDENI&gt;2,výpočty!AT53," ")))</f>
        <v xml:space="preserve"> </v>
      </c>
      <c r="L46" s="514"/>
      <c r="M46" s="365" t="str">
        <f>IF(VLOOKUP(CHYBY!$Q$6,CHYBY!$L:$N,3,FALSE)=1,"",IF(výpočty!S47=2,"",IF(VEDENI&gt;2,výpočty!AV53,"")))</f>
        <v/>
      </c>
      <c r="N46" s="217">
        <f>IF(VLOOKUP(CHYBY!$Q$6,CHYBY!$L:$N,3,FALSE)=1,"",IF(výpočty!S47=2,0,VLOOKUP(C46,výpočty!$Z$246:$AJ$508,11,0)))</f>
        <v>0</v>
      </c>
      <c r="O46" s="297"/>
      <c r="P46" s="218">
        <f>IF(výpočty!S47=2,0,IF(PRIPRAVA=1,Q46+R46,0))</f>
        <v>0</v>
      </c>
      <c r="Q46" s="205">
        <f>IF(S46=0,0,IF(SMER=1,IF('Objednávka žaluzií'!S46=1,$S$11,$S$9),IF(S46=2,$S$11,$S$9)))</f>
        <v>0</v>
      </c>
      <c r="R46" s="205">
        <f>VLOOKUP(C46,výpočty!$AA:$AM,(5+VEDENI),0)</f>
        <v>0</v>
      </c>
      <c r="S46" s="205">
        <f>VLOOKUP('Objednávka žaluzií'!C46,výpočty!$AA:$AM,11,0)</f>
        <v>0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 xml:space="preserve"> </v>
      </c>
      <c r="D47" s="509" t="str">
        <f>IF(VLOOKUP(CHYBY!$Q$6,CHYBY!$L:$N,3,FALSE)=1,"",IF(P47=0,IF(VEDENI&gt;2,výpočty!AO54," "),CONCATENATE(IF(VEDENI&gt;2,výpočty!AO54," ")," (X",P47,")")))</f>
        <v xml:space="preserve"> </v>
      </c>
      <c r="E47" s="509"/>
      <c r="F47" s="509"/>
      <c r="G47" s="509"/>
      <c r="H47" s="508" t="str">
        <f>IF(VLOOKUP(CHYBY!$Q$6,CHYBY!$L:$N,3,FALSE)=1,"",IF(výpočty!S49=2,0,IF(VEDENI&gt;2,výpočty!AR54," ")))</f>
        <v xml:space="preserve"> </v>
      </c>
      <c r="I47" s="508"/>
      <c r="J47" s="229">
        <f>IF(VLOOKUP(CHYBY!$Q$6,CHYBY!$L:$N,3,FALSE)=1,"",IF(výpočty!S49=2,0,VLOOKUP(C47,výpočty!$Z$246:$AK$508,12,0)))</f>
        <v>0</v>
      </c>
      <c r="K47" s="514" t="str">
        <f>IF(VLOOKUP(CHYBY!$Q$6,CHYBY!$L:$N,3,FALSE)=1,"",IF(výpočty!S49=2,0,IF(VEDENI&gt;2,výpočty!AT54," ")))</f>
        <v xml:space="preserve"> </v>
      </c>
      <c r="L47" s="514"/>
      <c r="M47" s="365" t="str">
        <f>IF(VLOOKUP(CHYBY!$Q$6,CHYBY!$L:$N,3,FALSE)=1,"",IF(výpočty!S49=2,"",IF(VEDENI&gt;2,výpočty!AV54,"")))</f>
        <v/>
      </c>
      <c r="N47" s="217">
        <f>IF(VLOOKUP(CHYBY!$Q$6,CHYBY!$L:$N,3,FALSE)=1,"",IF(výpočty!S49=2,0,VLOOKUP(C47,výpočty!$Z$246:$AJ$508,11,0)))</f>
        <v>0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509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509"/>
      <c r="F48" s="509"/>
      <c r="G48" s="509"/>
      <c r="H48" s="517">
        <f>IF(VLOOKUP(CHYBY!$Q$6,CHYBY!$L:$N,3,FALSE)=1,"",IF(výpočty!S55=2,0,IF(C48=0,0,IF(VEDENI&gt;2,výpočty!AR54," "))))</f>
        <v>0</v>
      </c>
      <c r="I48" s="517"/>
      <c r="J48" s="229">
        <f>IF(VLOOKUP(CHYBY!$Q$6,CHYBY!$L:$N,3,FALSE)=1,"",IF(výpočty!S55=2,0,VLOOKUP(C48,výpočty!$Z$246:$AK$508,12,0)))</f>
        <v>0</v>
      </c>
      <c r="K48" s="512">
        <f>IF(VLOOKUP(CHYBY!$Q$6,CHYBY!$L:$N,3,FALSE)=1,"",IF(C48=0,0,IF(výpočty!S55=2,0,VLOOKUP(C48,výpočty!AA235:AD236,3,0))))</f>
        <v>0</v>
      </c>
      <c r="L48" s="51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R88209</v>
      </c>
      <c r="D49" s="502" t="str">
        <f>IF(VLOOKUP(CHYBY!$Q$6,CHYBY!$L:$N,3,FALSE)=1,"",IF(C49=výpočty!AA173,výpočty!AB173,AJ49))</f>
        <v>Narożnik lis.tor.na wkr. czarny</v>
      </c>
      <c r="E49" s="503"/>
      <c r="F49" s="503"/>
      <c r="G49" s="221"/>
      <c r="H49" s="517">
        <f>IF(VLOOKUP(CHYBY!$Q$6,CHYBY!$L:$N,3,FALSE)=1,"",IF(AI49=Překlady!A84,Překlady!A84,IF(výpočty!S51=2,0,IF(NAVIJENI=1,4*$F$21,1*$F$21))))</f>
        <v>0</v>
      </c>
      <c r="I49" s="517"/>
      <c r="J49" s="229" t="str">
        <f>IF(VLOOKUP(CHYBY!$Q$6,CHYBY!$L:$N,3,FALSE)=1,"",IF(výpočty!S51=2,0,VLOOKUP(AI49,výpočty!$Z$246:$AK$508,12,0)))</f>
        <v>SZT.</v>
      </c>
      <c r="K49" s="512">
        <f>IF(VLOOKUP(CHYBY!$Q$6,CHYBY!$L:$N,3,FALSE)=1,"",IF(výpočty!S51=2,0,IF(NAVIJENI=1,IF(VEDENI=1,výpočty!AT31,IF(VEDENI=2,výpočty!AT42,výpočty!AT56)),IF(NAVIJENI=2,IF(VEDENI&lt;3,výpočty!AT35,výpočty!AT55),výpočty!AT36))))</f>
        <v>5.8428699999999996</v>
      </c>
      <c r="L49" s="51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11" t="str">
        <f>IF(NAVIJENI=1,IF(VEDENI=1,výpočty!AO31,IF(VEDENI=2,výpočty!AO42,výpočty!AO56)),IF(NAVIJENI=2,IF(VEDENI&lt;3,výpočty!AO35,výpočty!AO55),výpočty!AO36))</f>
        <v>Narożnik lis.tor.na wkr. czarny</v>
      </c>
      <c r="U49" s="511"/>
      <c r="V49" s="511"/>
      <c r="W49" s="511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Narożnik lis.tor.na wkr. czarny</v>
      </c>
      <c r="Y49" s="205" t="str">
        <f>IF(NAVIJENI=1,IF(VEDENI=1,výpočty!AQ31,IF(VEDENI=2,výpočty!AQ42,výpočty!AQ56)),IF(NAVIJENI=2,IF(VEDENI&lt;3,výpočty!AQ35,výpočty!AQ55),výpočty!AQ36))</f>
        <v>R88209</v>
      </c>
      <c r="Z49" s="510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Narożnik lis.tor.na wkr. czarny</v>
      </c>
      <c r="AA49" s="510"/>
      <c r="AB49" s="510"/>
      <c r="AC49" s="510"/>
      <c r="AD49" s="205" t="str">
        <f>IF(VEDENI=1,IF(NAVIJENI=2,Překlady!B93,Z49),Z49)</f>
        <v>Narożnik lis.tor.na wkr. czarny</v>
      </c>
      <c r="AI49" s="216" t="str">
        <f>IF(VEDENI=1,IF(NAVIJENI=2,Překlady!A84,'Objednávka žaluzií'!Y49),'Objednávka žaluzií'!Y49)</f>
        <v>R88209</v>
      </c>
      <c r="AJ49" s="502" t="str">
        <f>IF(P49=0,IF(VEDENI=1,IF(NAVIJENI=2,Překlady!B93,Z49),Z49),CONCATENATE(IF(VEDENI=1,IF(NAVIJENI=2,Překlady!B93,Z49),Z49)," (X",P49,")"))</f>
        <v>Narożnik lis.tor.na wkr. czarny</v>
      </c>
      <c r="AK49" s="503"/>
      <c r="AL49" s="503"/>
      <c r="AM49" s="504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509">
        <f>IF(VLOOKUP(CHYBY!$Q$6,CHYBY!$L:$N,3,FALSE)=1,"",IF(P50=0,IF(C50=výpočty!AA234,výpočty!AB234,0),CONCATENATE(IF(C50=výpočty!AA234,výpočty!AB234,0)," (X",P50,")")))</f>
        <v>0</v>
      </c>
      <c r="E50" s="509"/>
      <c r="F50" s="509"/>
      <c r="G50" s="509"/>
      <c r="H50" s="517">
        <f>IF(VLOOKUP(CHYBY!$Q$6,CHYBY!$L:$N,3,FALSE)=1,"",IF(výpočty!S53=2,0,IF(C50=výpočty!AA234,F21,0)))</f>
        <v>0</v>
      </c>
      <c r="I50" s="517"/>
      <c r="J50" s="229">
        <f>IF(VLOOKUP(CHYBY!$Q$6,CHYBY!$L:$N,3,FALSE)=1,"",IF(výpočty!S53=2,0,VLOOKUP(C50,výpočty!$Z$246:$AK$508,12,0)))</f>
        <v>0</v>
      </c>
      <c r="K50" s="512">
        <f>IF(VLOOKUP(CHYBY!$Q$6,CHYBY!$L:$N,3,FALSE)=1,"",IF(výpočty!S53=2,0,IF(C50=výpočty!AA234,výpočty!AC234,0)))</f>
        <v>0</v>
      </c>
      <c r="L50" s="51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63"/>
      <c r="E51" s="563"/>
      <c r="F51" s="563"/>
      <c r="G51" s="563"/>
      <c r="H51" s="516"/>
      <c r="I51" s="516"/>
      <c r="J51" s="278"/>
      <c r="K51" s="564"/>
      <c r="L51" s="565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taśma klejąca do przyklejenia żaluzji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509" t="str">
        <f>IF(VLOOKUP(CHYBY!$Q$6,CHYBY!$L:$N,3,FALSE)=1,"",IF(C53=0,0,VLOOKUP('Objednávka žaluzií'!C53,výpočty!$AA$238:$AD$239,2,0)))</f>
        <v>Taśma klejąca do przylepienia żaluzji</v>
      </c>
      <c r="E53" s="509"/>
      <c r="F53" s="509"/>
      <c r="G53" s="509"/>
      <c r="H53" s="517">
        <f>IF(VLOOKUP(CHYBY!$Q$6,CHYBY!$L:$N,3,FALSE)=1,"",IF(výpočty!S54=2,0,IF(C53=výpočty!AA238,1,IF('Objednávka žaluzií'!C53=výpočty!AA239,(V53*F21),0))))</f>
        <v>0</v>
      </c>
      <c r="I53" s="517"/>
      <c r="J53" s="229" t="str">
        <f>IF(VLOOKUP(CHYBY!$Q$6,CHYBY!$L:$N,3,FALSE)=1,"",IF(výpočty!S54=2,0,VLOOKUP(C53,výpočty!$Z$246:$AK$508,12,0)))</f>
        <v>MB</v>
      </c>
      <c r="K53" s="512">
        <f>IF(VLOOKUP(CHYBY!$Q$6,CHYBY!$L:$N,3,FALSE)=1,"",IF(výpočty!S54=2,0,IF(C53=0,0,VLOOKUP(C53,výpočty!$AA$238:$AD$239,3,0))))</f>
        <v>3.3436300000000001</v>
      </c>
      <c r="L53" s="51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Opłata za przygotowanie kompletu na miarę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74" t="str">
        <f>IF(VLOOKUP(CHYBY!$Q$6,CHYBY!$L:$N,3,FALSE)=1,"",IF(C55=výpočty!AA237,výpočty!AB237,0))</f>
        <v>opłata za przygotowanie żaluzji</v>
      </c>
      <c r="E55" s="575"/>
      <c r="F55" s="575"/>
      <c r="G55" s="576"/>
      <c r="H55" s="566">
        <f>IF(VLOOKUP(CHYBY!$Q$6,CHYBY!$L:$N,3,FALSE)=1,"",IF(C55=výpočty!AA237,F21,0))</f>
        <v>0</v>
      </c>
      <c r="I55" s="567"/>
      <c r="J55" s="230" t="str">
        <f>IF(VLOOKUP(CHYBY!$Q$6,CHYBY!$L:$N,3,FALSE)=1,"",IF(výpočty!S50=2,0,VLOOKUP(C55,výpočty!$Z$246:$AK$508,12,0)))</f>
        <v>SZT.</v>
      </c>
      <c r="K55" s="584">
        <f>IF(VLOOKUP(CHYBY!$Q$6,CHYBY!$L:$N,3,FALSE)=1,"",IF(C55=výpočty!AA237,výpočty!AC237,0))</f>
        <v>40</v>
      </c>
      <c r="L55" s="584"/>
      <c r="M55" s="302">
        <f>IF(VLOOKUP(CHYBY!$Q$6,CHYBY!$L:$N,3,FALSE)=1,"",H55*K55)</f>
        <v>0</v>
      </c>
      <c r="N55" s="585"/>
      <c r="O55" s="586"/>
    </row>
    <row r="56" spans="1:39" ht="8.25" customHeight="1" x14ac:dyDescent="0.2">
      <c r="C56" s="222"/>
      <c r="D56" s="221"/>
      <c r="E56" s="221"/>
      <c r="F56" s="541"/>
      <c r="G56" s="541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78" t="str">
        <f>Překlady!$A$33</f>
        <v xml:space="preserve">W sumie </v>
      </c>
      <c r="D57" s="579"/>
      <c r="E57" s="579"/>
      <c r="F57" s="579"/>
      <c r="G57" s="579"/>
      <c r="H57" s="579"/>
      <c r="I57" s="579"/>
      <c r="J57" s="579"/>
      <c r="K57" s="579"/>
      <c r="L57" s="580"/>
      <c r="M57" s="618">
        <f>IFERROR(SUM(M32:M55),Překlady!A84)</f>
        <v>0</v>
      </c>
      <c r="N57" s="619"/>
      <c r="O57" s="620"/>
      <c r="P57" s="373"/>
    </row>
    <row r="58" spans="1:39" ht="8.25" customHeight="1" x14ac:dyDescent="0.2">
      <c r="C58" s="222"/>
      <c r="D58" s="221"/>
      <c r="E58" s="221"/>
      <c r="F58" s="541"/>
      <c r="G58" s="541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81" t="str">
        <f>Překlady!$A$9</f>
        <v>Uwagi</v>
      </c>
      <c r="D59" s="568"/>
      <c r="E59" s="568"/>
      <c r="F59" s="568"/>
      <c r="G59" s="568"/>
      <c r="H59" s="568"/>
      <c r="I59" s="568"/>
      <c r="J59" s="568"/>
      <c r="K59" s="568"/>
      <c r="L59" s="568"/>
      <c r="M59" s="568"/>
      <c r="N59" s="568"/>
      <c r="O59" s="569"/>
    </row>
    <row r="60" spans="1:39" ht="11.25" customHeight="1" x14ac:dyDescent="0.2">
      <c r="C60" s="582"/>
      <c r="D60" s="570"/>
      <c r="E60" s="570"/>
      <c r="F60" s="570"/>
      <c r="G60" s="570"/>
      <c r="H60" s="570"/>
      <c r="I60" s="570"/>
      <c r="J60" s="570"/>
      <c r="K60" s="570"/>
      <c r="L60" s="570"/>
      <c r="M60" s="570"/>
      <c r="N60" s="570"/>
      <c r="O60" s="571"/>
    </row>
    <row r="61" spans="1:39" ht="11.25" customHeight="1" x14ac:dyDescent="0.2">
      <c r="C61" s="582"/>
      <c r="D61" s="570"/>
      <c r="E61" s="570"/>
      <c r="F61" s="570"/>
      <c r="G61" s="570"/>
      <c r="H61" s="570"/>
      <c r="I61" s="570"/>
      <c r="J61" s="570"/>
      <c r="K61" s="570"/>
      <c r="L61" s="570"/>
      <c r="M61" s="570"/>
      <c r="N61" s="570"/>
      <c r="O61" s="571"/>
    </row>
    <row r="62" spans="1:39" ht="11.25" customHeight="1" x14ac:dyDescent="0.2">
      <c r="C62" s="582"/>
      <c r="D62" s="570"/>
      <c r="E62" s="570"/>
      <c r="F62" s="570"/>
      <c r="G62" s="570"/>
      <c r="H62" s="570"/>
      <c r="I62" s="570"/>
      <c r="J62" s="570"/>
      <c r="K62" s="570"/>
      <c r="L62" s="570"/>
      <c r="M62" s="570"/>
      <c r="N62" s="570"/>
      <c r="O62" s="571"/>
    </row>
    <row r="63" spans="1:39" ht="11.25" customHeight="1" x14ac:dyDescent="0.2">
      <c r="C63" s="582"/>
      <c r="D63" s="570"/>
      <c r="E63" s="570"/>
      <c r="F63" s="570"/>
      <c r="G63" s="570"/>
      <c r="H63" s="570"/>
      <c r="I63" s="570"/>
      <c r="J63" s="570"/>
      <c r="K63" s="570"/>
      <c r="L63" s="570"/>
      <c r="M63" s="570"/>
      <c r="N63" s="570"/>
      <c r="O63" s="571"/>
    </row>
    <row r="64" spans="1:39" ht="11.25" customHeight="1" x14ac:dyDescent="0.2">
      <c r="C64" s="582"/>
      <c r="D64" s="570"/>
      <c r="E64" s="570"/>
      <c r="F64" s="570"/>
      <c r="G64" s="570"/>
      <c r="H64" s="570"/>
      <c r="I64" s="570"/>
      <c r="J64" s="570"/>
      <c r="K64" s="570"/>
      <c r="L64" s="570"/>
      <c r="M64" s="570"/>
      <c r="N64" s="570"/>
      <c r="O64" s="571"/>
    </row>
    <row r="65" spans="3:15" ht="11.25" customHeight="1" x14ac:dyDescent="0.2">
      <c r="C65" s="582"/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1"/>
    </row>
    <row r="66" spans="3:15" ht="11.25" customHeight="1" x14ac:dyDescent="0.2">
      <c r="C66" s="582"/>
      <c r="D66" s="570"/>
      <c r="E66" s="570"/>
      <c r="F66" s="570"/>
      <c r="G66" s="570"/>
      <c r="H66" s="570"/>
      <c r="I66" s="570"/>
      <c r="J66" s="570"/>
      <c r="K66" s="570"/>
      <c r="L66" s="570"/>
      <c r="M66" s="570"/>
      <c r="N66" s="570"/>
      <c r="O66" s="571"/>
    </row>
    <row r="67" spans="3:15" ht="11.25" customHeight="1" x14ac:dyDescent="0.2">
      <c r="C67" s="583"/>
      <c r="D67" s="572"/>
      <c r="E67" s="572"/>
      <c r="F67" s="572"/>
      <c r="G67" s="572"/>
      <c r="H67" s="572"/>
      <c r="I67" s="572"/>
      <c r="J67" s="572"/>
      <c r="K67" s="572"/>
      <c r="L67" s="572"/>
      <c r="M67" s="572"/>
      <c r="N67" s="572"/>
      <c r="O67" s="573"/>
    </row>
    <row r="68" spans="3:15" ht="22.5" customHeight="1" x14ac:dyDescent="0.2">
      <c r="C68" s="561" t="str">
        <f>Překlady!$A$103</f>
        <v>Instrukcje montażu są dostępne na naszym portalu www.demos24plus.com</v>
      </c>
      <c r="D68" s="562"/>
      <c r="E68" s="562"/>
      <c r="F68" s="562"/>
      <c r="G68" s="562"/>
      <c r="H68" s="562"/>
      <c r="I68" s="562"/>
      <c r="J68" s="562"/>
      <c r="K68" s="562"/>
      <c r="L68" s="562"/>
      <c r="M68" s="577" t="s">
        <v>1532</v>
      </c>
      <c r="N68" s="577"/>
      <c r="O68" s="577"/>
    </row>
    <row r="69" spans="3:15" ht="11.25" customHeight="1" x14ac:dyDescent="0.2">
      <c r="C69" s="239" t="str">
        <f>Překlady!$A$105</f>
        <v>Pion.25.02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Podane ceny nie zawierają podatku VAT i obowiązują od06.01.2025</v>
      </c>
    </row>
  </sheetData>
  <sheetProtection algorithmName="SHA-512" hashValue="RZAqz8pgNktR50R2myErEnILqV1mdsThsZr0cV5t/nBPvxYEWaji3/wEjoG2OY4FmAmd2WgBk5yP3yF4FB0McA==" saltValue="ltsRWHJO9e+t+Ff0O3Y+1Q==" spinCount="100000" sheet="1" objects="1" scenarios="1" selectLockedCells="1"/>
  <mergeCells count="109"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L35" sqref="L35:N35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Pionowy (z góry na dół)</v>
      </c>
      <c r="B2" s="256" t="str">
        <f>výpočty!$R$9</f>
        <v>Do tyłu</v>
      </c>
      <c r="C2" t="str">
        <f>výpočty!$R$3</f>
        <v>TOP Basic - wpuszczany do przykręcenia plastikowy</v>
      </c>
      <c r="D2" s="26" t="str">
        <f>výpočty!$W$3</f>
        <v>Czarny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1</v>
      </c>
      <c r="W2" t="str">
        <f>VLOOKUP(V2,výpočty!Q3:S7,2,FALSE)</f>
        <v>TOP Basic - wpuszczany do przykręcenia plastikowy</v>
      </c>
    </row>
    <row r="3" spans="1:23" ht="13.5" thickBot="1" x14ac:dyDescent="0.25">
      <c r="A3" s="255" t="str">
        <f>výpočty!$R$14</f>
        <v>Pionowy (z góry na dół)</v>
      </c>
      <c r="B3" s="256" t="str">
        <f>výpočty!$R$9</f>
        <v>Do tyłu</v>
      </c>
      <c r="C3" t="str">
        <f>výpočty!$R$3</f>
        <v>TOP Basic - wpuszczany do przykręcenia plastikowy</v>
      </c>
      <c r="D3" s="36" t="str">
        <f>výpočty!$W$4</f>
        <v>Biały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Do tyłu</v>
      </c>
    </row>
    <row r="4" spans="1:23" ht="13.5" thickBot="1" x14ac:dyDescent="0.25">
      <c r="A4" s="255" t="str">
        <f>výpočty!$R$14</f>
        <v>Pionowy (z góry na dół)</v>
      </c>
      <c r="B4" s="256" t="str">
        <f>výpočty!$R$9</f>
        <v>Do tyłu</v>
      </c>
      <c r="C4" t="str">
        <f>výpočty!$R$3</f>
        <v>TOP Basic - wpuszczany do przykręcenia plastikowy</v>
      </c>
      <c r="D4" s="36" t="str">
        <f>výpočty!$W$5</f>
        <v>Szary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A</v>
      </c>
      <c r="U4" s="320" t="s">
        <v>1932</v>
      </c>
      <c r="V4">
        <f>SMER</f>
        <v>1</v>
      </c>
      <c r="W4" t="str">
        <f>VLOOKUP(V4,výpočty!Q14:R15,2,FALSE)</f>
        <v>Pionowy (z góry na dół)</v>
      </c>
    </row>
    <row r="5" spans="1:23" ht="13.5" thickBot="1" x14ac:dyDescent="0.25">
      <c r="A5" s="255" t="str">
        <f>výpočty!$R$14</f>
        <v>Pionowy (z góry na dół)</v>
      </c>
      <c r="B5" s="256" t="str">
        <f>výpočty!$R$9</f>
        <v>Do tyłu</v>
      </c>
      <c r="C5" t="str">
        <f>výpočty!$R$3</f>
        <v>TOP Basic - wpuszczany do przykręcenia plastikowy</v>
      </c>
      <c r="D5" s="36" t="str">
        <f>výpočty!$W$6</f>
        <v>Aluminowa plastik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Czarny (E23)</v>
      </c>
    </row>
    <row r="6" spans="1:23" ht="13.5" thickBot="1" x14ac:dyDescent="0.25">
      <c r="A6" s="255" t="str">
        <f>výpočty!$R$14</f>
        <v>Pionowy (z góry na dół)</v>
      </c>
      <c r="B6" s="256" t="str">
        <f>výpočty!$R$9</f>
        <v>Do tyłu</v>
      </c>
      <c r="C6" t="str">
        <f>výpočty!$R$3</f>
        <v>TOP Basic - wpuszczany do przykręcenia plastikowy</v>
      </c>
      <c r="D6" s="36" t="str">
        <f>výpočty!$W$7</f>
        <v>Buk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VXA1</v>
      </c>
    </row>
    <row r="7" spans="1:23" x14ac:dyDescent="0.2">
      <c r="A7" s="255" t="str">
        <f>výpočty!$R$14</f>
        <v>Pionowy (z góry na dół)</v>
      </c>
      <c r="B7" s="256" t="str">
        <f>výpočty!$R$9</f>
        <v>Do tyłu</v>
      </c>
      <c r="C7" t="str">
        <f>výpočty!$R$3</f>
        <v>TOP Basic - wpuszczany do przykręcenia plastikowy</v>
      </c>
      <c r="D7" s="36" t="str">
        <f>výpočty!$W$8</f>
        <v>Czereśnia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Pionowy (z góry na dół)</v>
      </c>
      <c r="B8" s="256" t="str">
        <f>výpočty!$R$9</f>
        <v>Do tyłu</v>
      </c>
      <c r="C8" t="str">
        <f>výpočty!$R$3</f>
        <v>TOP Basic - wpuszczany do przykręcenia plastikowy</v>
      </c>
      <c r="D8" s="36" t="str">
        <f>výpočty!$W$9</f>
        <v>Klon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Pionowy (z góry na dół)</v>
      </c>
      <c r="B9" s="256" t="str">
        <f>výpočty!$R$9</f>
        <v>Do tyłu</v>
      </c>
      <c r="C9" t="str">
        <f>výpočty!$R$3</f>
        <v>TOP Basic - wpuszczany do przykręcenia plastikowy</v>
      </c>
      <c r="D9" s="36" t="str">
        <f>výpočty!$W$10</f>
        <v>Brzoza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Pionowy (z góry na dół)</v>
      </c>
      <c r="B10" s="256" t="str">
        <f>výpočty!$R$9</f>
        <v>Do tyłu</v>
      </c>
      <c r="C10" t="str">
        <f>výpočty!$R$3</f>
        <v>TOP Basic - wpuszczany do przykręcenia plastikowy</v>
      </c>
      <c r="D10" s="36" t="str">
        <f>výpočty!$W$11</f>
        <v>Czereśnia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Pionowy (z góry na dół)</v>
      </c>
      <c r="B11" s="256" t="str">
        <f>výpočty!$R$9</f>
        <v>Do tyłu</v>
      </c>
      <c r="C11" t="str">
        <f>výpočty!$R$3</f>
        <v>TOP Basic - wpuszczany do przykręcenia plastikowy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87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Pionowy (z góry na dół)</v>
      </c>
      <c r="B12" s="256" t="str">
        <f>výpočty!$R$9</f>
        <v>Do tyłu</v>
      </c>
      <c r="C12" t="str">
        <f>výpočty!$R$3</f>
        <v>TOP Basic - wpuszczany do przykręcenia plastikowy</v>
      </c>
      <c r="D12" s="350" t="str">
        <f>výpočty!$W$14</f>
        <v>śnieżno biala mat (E9)</v>
      </c>
      <c r="E12" s="321" t="s">
        <v>2131</v>
      </c>
      <c r="F12" s="321">
        <v>1</v>
      </c>
      <c r="G12" s="321" t="str">
        <f>Překlady!$A$142</f>
        <v>Kolor śnieżno biały w profilu E9 można łączyć jedynie z prowadzeniem Classic i systemem nawijania do tyłu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Kolor śnieżno biały w profilu E9 można łączyć jedynie z prowadzeniem Classic i systemem nawijania do tyłu</v>
      </c>
      <c r="N12">
        <f t="shared" si="2"/>
        <v>1</v>
      </c>
      <c r="T12" s="587"/>
      <c r="U12" s="347" t="str">
        <f>IF(AND(V8&gt;(1200-36),V4=1),Překlady!A156,"")</f>
        <v/>
      </c>
    </row>
    <row r="13" spans="1:23" x14ac:dyDescent="0.2">
      <c r="A13" s="255" t="str">
        <f>výpočty!$R$14</f>
        <v>Pionowy (z góry na dół)</v>
      </c>
      <c r="B13" s="256" t="str">
        <f>výpočty!$R$9</f>
        <v>Do tyłu</v>
      </c>
      <c r="C13" t="str">
        <f>výpočty!$R$3</f>
        <v>TOP Basic - wpuszczany do przykręcenia plastikowy</v>
      </c>
      <c r="D13" s="36" t="str">
        <f>výpočty!$W$15</f>
        <v>Aluminowa plastik (E4)</v>
      </c>
      <c r="E13" t="s">
        <v>2131</v>
      </c>
      <c r="F13">
        <v>1</v>
      </c>
      <c r="G13" s="321" t="str">
        <f>Překlady!$A$143</f>
        <v>Kolor aluminium plastik w profilu E4 jest idealny do poziomych rozwiązań w kombinacji z prowadzeniem Classic z systemem nawijania do tyłu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Kolor aluminium plastik w profilu E4 jest idealny do poziomych rozwiązań w kombinacji z prowadzeniem Classic z systemem nawijania do tyłu</v>
      </c>
      <c r="N13">
        <f t="shared" si="2"/>
        <v>1</v>
      </c>
      <c r="T13" s="587"/>
      <c r="U13" s="349" t="str">
        <f>IF(AND(V4=2,V5&lt;&gt;13,V7&gt;1150),Překlady!A157,"")</f>
        <v/>
      </c>
    </row>
    <row r="14" spans="1:23" x14ac:dyDescent="0.2">
      <c r="A14" s="255" t="str">
        <f>výpočty!$R$14</f>
        <v>Pionowy (z góry na dół)</v>
      </c>
      <c r="B14" s="256" t="str">
        <f>výpočty!$R$9</f>
        <v>Do tyłu</v>
      </c>
      <c r="C14" t="str">
        <f>výpočty!$R$3</f>
        <v>TOP Basic - wpuszczany do przykręcenia plastikowy</v>
      </c>
      <c r="D14" s="36">
        <f>výpočty!$W$17</f>
        <v>0</v>
      </c>
      <c r="E14" t="s">
        <v>2131</v>
      </c>
      <c r="F14">
        <v>1</v>
      </c>
      <c r="G14" s="321" t="str">
        <f>Překlady!$A$144</f>
        <v>Systemu prowadzenia TOP BASIC nie da się zastosować z roletowym profilem Metallic line. Należy wybrać wersję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Systemu prowadzenia TOP BASIC nie da się zastosować z roletowym profilem Metallic line. Należy wybrać wersję TOP.</v>
      </c>
      <c r="N14">
        <f t="shared" si="2"/>
        <v>1</v>
      </c>
      <c r="T14" s="587"/>
      <c r="U14" s="347" t="str">
        <f>IF(AND(V4=2,V5=13,V7&gt;1900),Překlady!A158,"")</f>
        <v/>
      </c>
    </row>
    <row r="15" spans="1:23" x14ac:dyDescent="0.2">
      <c r="A15" s="255" t="str">
        <f>výpočty!$R$14</f>
        <v>Pionowy (z góry na dół)</v>
      </c>
      <c r="B15" s="256" t="str">
        <f>výpočty!$R$9</f>
        <v>Do tyłu</v>
      </c>
      <c r="C15" t="str">
        <f>výpočty!$R$3</f>
        <v>TOP Basic - wpuszczany do przykręcenia plastikowy</v>
      </c>
      <c r="D15" s="36">
        <f>výpočty!$W$18</f>
        <v>0</v>
      </c>
      <c r="E15" t="s">
        <v>2131</v>
      </c>
      <c r="F15">
        <v>1</v>
      </c>
      <c r="G15" s="321" t="str">
        <f>Překlady!$A$144</f>
        <v>Systemu prowadzenia TOP BASIC nie da się zastosować z roletowym profilem Metallic line. Należy wybrać wersję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Systemu prowadzenia TOP BASIC nie da się zastosować z roletowym profilem Metallic line. Należy wybrać wersję TOP.</v>
      </c>
      <c r="N15">
        <f t="shared" si="2"/>
        <v>1</v>
      </c>
      <c r="T15" s="587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Pionowy (z góry na dół)</v>
      </c>
      <c r="B16" s="256" t="str">
        <f>výpočty!$R$9</f>
        <v>Do tyłu</v>
      </c>
      <c r="C16" t="str">
        <f>výpočty!$R$3</f>
        <v>TOP Basic - wpuszczany do przykręcenia plastikowy</v>
      </c>
      <c r="D16" s="36" t="str">
        <f>výpočty!$W$19</f>
        <v>Aluminium szerokość 25 mm (metallic-line)</v>
      </c>
      <c r="E16" t="s">
        <v>2131</v>
      </c>
      <c r="F16">
        <v>1</v>
      </c>
      <c r="G16" s="321" t="str">
        <f>Překlady!$A$144</f>
        <v>Systemu prowadzenia TOP BASIC nie da się zastosować z roletowym profilem Metallic line. Należy wybrać wersję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Systemu prowadzenia TOP BASIC nie da się zastosować z roletowym profilem Metallic line. Należy wybrać wersję TOP.</v>
      </c>
      <c r="N16">
        <f t="shared" si="2"/>
        <v>1</v>
      </c>
    </row>
    <row r="17" spans="1:23" ht="13.5" thickBot="1" x14ac:dyDescent="0.25">
      <c r="A17" s="255" t="str">
        <f>výpočty!$R$14</f>
        <v>Pionowy (z góry na dół)</v>
      </c>
      <c r="B17" s="256" t="str">
        <f>výpočty!$R$9</f>
        <v>Do tyłu</v>
      </c>
      <c r="C17" t="str">
        <f>výpočty!$R$3</f>
        <v>TOP Basic - wpuszczany do przykręcenia plastikowy</v>
      </c>
      <c r="D17" s="27" t="str">
        <f>výpočty!$W$20</f>
        <v>Nierdz. szerokość 25 mm (metallic-line)</v>
      </c>
      <c r="E17" t="s">
        <v>2131</v>
      </c>
      <c r="F17">
        <v>1</v>
      </c>
      <c r="G17" s="321" t="str">
        <f>Překlady!$A$144</f>
        <v>Systemu prowadzenia TOP BASIC nie da się zastosować z roletowym profilem Metallic line. Należy wybrać wersję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Systemu prowadzenia TOP BASIC nie da się zastosować z roletowym profilem Metallic line. Należy wybrać wersję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Pionowy (z góry na dół)</v>
      </c>
      <c r="B18" s="256" t="str">
        <f>výpočty!$R$9</f>
        <v>Do tyłu</v>
      </c>
      <c r="C18" t="str">
        <f>výpočty!$R$4</f>
        <v>Classic - wpuszczany do zafrezowania</v>
      </c>
      <c r="D18" s="26" t="str">
        <f>výpočty!$W$3</f>
        <v>Czarny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Pionowy (z góry na dół)</v>
      </c>
      <c r="B19" s="256" t="str">
        <f>výpočty!$R$9</f>
        <v>Do tyłu</v>
      </c>
      <c r="C19" t="str">
        <f>výpočty!$R$4</f>
        <v>Classic - wpuszczany do zafrezowania</v>
      </c>
      <c r="D19" s="36" t="str">
        <f>výpočty!$W$4</f>
        <v>Biały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Pionowy (z góry na dół)</v>
      </c>
      <c r="B20" s="256" t="str">
        <f>výpočty!$R$9</f>
        <v>Do tyłu</v>
      </c>
      <c r="C20" t="str">
        <f>výpočty!$R$4</f>
        <v>Classic - wpuszczany do zafrezowania</v>
      </c>
      <c r="D20" s="36" t="str">
        <f>výpočty!$W$5</f>
        <v>Szary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Pionowy (z góry na dół)</v>
      </c>
      <c r="B21" s="256" t="str">
        <f>výpočty!$R$9</f>
        <v>Do tyłu</v>
      </c>
      <c r="C21" t="str">
        <f>výpočty!$R$4</f>
        <v>Classic - wpuszczany do zafrezowania</v>
      </c>
      <c r="D21" s="36" t="str">
        <f>výpočty!$W$6</f>
        <v>Aluminowa plastik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Pionowy (z góry na dół)</v>
      </c>
      <c r="B22" s="256" t="str">
        <f>výpočty!$R$9</f>
        <v>Do tyłu</v>
      </c>
      <c r="C22" t="str">
        <f>výpočty!$R$4</f>
        <v>Classic - wpuszczany do zafrezowania</v>
      </c>
      <c r="D22" s="36" t="str">
        <f>výpočty!$W$7</f>
        <v>Buk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Pionowy (z góry na dół)</v>
      </c>
      <c r="B23" s="256" t="str">
        <f>výpočty!$R$9</f>
        <v>Do tyłu</v>
      </c>
      <c r="C23" t="str">
        <f>výpočty!$R$4</f>
        <v>Classic - wpuszczany do zafrezowania</v>
      </c>
      <c r="D23" s="36" t="str">
        <f>výpočty!$W$8</f>
        <v>Czereśnia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Pionowy (z góry na dół)</v>
      </c>
      <c r="B24" s="256" t="str">
        <f>výpočty!$R$9</f>
        <v>Do tyłu</v>
      </c>
      <c r="C24" t="str">
        <f>výpočty!$R$4</f>
        <v>Classic - wpuszczany do zafrezowania</v>
      </c>
      <c r="D24" s="36" t="str">
        <f>výpočty!$W$9</f>
        <v>Klon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Pionowy (z góry na dół)</v>
      </c>
      <c r="B25" s="256" t="str">
        <f>výpočty!$R$9</f>
        <v>Do tyłu</v>
      </c>
      <c r="C25" t="str">
        <f>výpočty!$R$4</f>
        <v>Classic - wpuszczany do zafrezowania</v>
      </c>
      <c r="D25" s="36" t="str">
        <f>výpočty!$W$10</f>
        <v>Brzoza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Pionowy (z góry na dół)</v>
      </c>
      <c r="B26" s="256" t="str">
        <f>výpočty!$R$9</f>
        <v>Do tyłu</v>
      </c>
      <c r="C26" t="str">
        <f>výpočty!$R$4</f>
        <v>Classic - wpuszczany do zafrezowania</v>
      </c>
      <c r="D26" s="36" t="str">
        <f>výpočty!$W$11</f>
        <v>Czereśnia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Pionowy (z góry na dół)</v>
      </c>
      <c r="B27" s="256" t="str">
        <f>výpočty!$R$9</f>
        <v>Do tyłu</v>
      </c>
      <c r="C27" t="str">
        <f>výpočty!$R$4</f>
        <v>Classic - wpuszczany do zafrezowania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Pionowy (z góry na dół)</v>
      </c>
      <c r="B28" s="256" t="str">
        <f>výpočty!$R$9</f>
        <v>Do tyłu</v>
      </c>
      <c r="C28" t="str">
        <f>výpočty!$R$4</f>
        <v>Classic - wpuszczany do zafrezowania</v>
      </c>
      <c r="D28" s="350" t="str">
        <f>výpočty!$W$14</f>
        <v>śnieżno biala mat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Pionowy (z góry na dół)</v>
      </c>
      <c r="B29" s="256" t="str">
        <f>výpočty!$R$9</f>
        <v>Do tyłu</v>
      </c>
      <c r="C29" t="str">
        <f>výpočty!$R$4</f>
        <v>Classic - wpuszczany do zafrezowania</v>
      </c>
      <c r="D29" s="36" t="str">
        <f>výpočty!$W$15</f>
        <v>Aluminowa plastik (E4)</v>
      </c>
      <c r="E29" s="321" t="s">
        <v>2131</v>
      </c>
      <c r="F29" s="321">
        <v>0</v>
      </c>
      <c r="G29" s="321" t="str">
        <f>Překlady!$A$143</f>
        <v>Kolor aluminium plastik w profilu E4 jest idealny do poziomych rozwiązań w kombinacji z prowadzeniem Classic z systemem nawijania do tyłu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Kolor aluminium plastik w profilu E4 jest idealny do poziomych rozwiązań w kombinacji z prowadzeniem Classic z systemem nawijania do tyłu</v>
      </c>
      <c r="N29">
        <f t="shared" si="2"/>
        <v>0</v>
      </c>
    </row>
    <row r="30" spans="1:23" x14ac:dyDescent="0.2">
      <c r="A30" s="255" t="str">
        <f>výpočty!$R$14</f>
        <v>Pionowy (z góry na dół)</v>
      </c>
      <c r="B30" s="256" t="str">
        <f>výpočty!$R$9</f>
        <v>Do tyłu</v>
      </c>
      <c r="C30" t="str">
        <f>výpočty!$R$4</f>
        <v>Classic - wpuszczany do zafrezowania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Pionowy (z góry na dół)</v>
      </c>
      <c r="B31" s="256" t="str">
        <f>výpočty!$R$9</f>
        <v>Do tyłu</v>
      </c>
      <c r="C31" t="str">
        <f>výpočty!$R$4</f>
        <v>Classic - wpuszczany do zafrezowania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Pionowy (z góry na dół)</v>
      </c>
      <c r="B32" s="256" t="str">
        <f>výpočty!$R$9</f>
        <v>Do tyłu</v>
      </c>
      <c r="C32" t="str">
        <f>výpočty!$R$4</f>
        <v>Classic - wpuszczany do zafrezowania</v>
      </c>
      <c r="D32" s="36" t="str">
        <f>výpočty!$W$19</f>
        <v>Aluminium szerokość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Pionowy (z góry na dół)</v>
      </c>
      <c r="B33" s="256" t="str">
        <f>výpočty!$R$9</f>
        <v>Do tyłu</v>
      </c>
      <c r="C33" t="str">
        <f>výpočty!$R$4</f>
        <v>Classic - wpuszczany do zafrezowania</v>
      </c>
      <c r="D33" s="27" t="str">
        <f>výpočty!$W$20</f>
        <v>Nierdz. szerokość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Pionowy (z góry na dół)</v>
      </c>
      <c r="B34" s="256" t="str">
        <f>výpočty!$R$9</f>
        <v>Do tyłu</v>
      </c>
      <c r="C34" t="str">
        <f>výpočty!$R$5</f>
        <v>Frame - nakładany z listwą maskującą</v>
      </c>
      <c r="D34" s="26" t="str">
        <f>výpočty!$W$3</f>
        <v>Czarny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Pionowy (z góry na dół)</v>
      </c>
      <c r="B35" s="256" t="str">
        <f>výpočty!$R$9</f>
        <v>Do tyłu</v>
      </c>
      <c r="C35" t="str">
        <f>výpočty!$R$5</f>
        <v>Frame - nakładany z listwą maskującą</v>
      </c>
      <c r="D35" s="36" t="str">
        <f>výpočty!$W$4</f>
        <v>Biały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Pionowy (z góry na dół)</v>
      </c>
      <c r="B36" s="256" t="str">
        <f>výpočty!$R$9</f>
        <v>Do tyłu</v>
      </c>
      <c r="C36" t="str">
        <f>výpočty!$R$5</f>
        <v>Frame - nakładany z listwą maskującą</v>
      </c>
      <c r="D36" s="36" t="str">
        <f>výpočty!$W$5</f>
        <v>Szary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Pionowy (z góry na dół)</v>
      </c>
      <c r="B37" s="256" t="str">
        <f>výpočty!$R$9</f>
        <v>Do tyłu</v>
      </c>
      <c r="C37" t="str">
        <f>výpočty!$R$5</f>
        <v>Frame - nakładany z listwą maskującą</v>
      </c>
      <c r="D37" s="36" t="str">
        <f>výpočty!$W$6</f>
        <v>Aluminowa plastik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Pionowy (z góry na dół)</v>
      </c>
      <c r="B38" s="256" t="str">
        <f>výpočty!$R$9</f>
        <v>Do tyłu</v>
      </c>
      <c r="C38" t="str">
        <f>výpočty!$R$5</f>
        <v>Frame - nakładany z listwą maskującą</v>
      </c>
      <c r="D38" s="36" t="str">
        <f>výpočty!$W$7</f>
        <v>Buk (E23)</v>
      </c>
      <c r="E38" t="s">
        <v>2131</v>
      </c>
      <c r="F38">
        <v>1</v>
      </c>
      <c r="G38" s="321" t="str">
        <f>Překlady!$A$145</f>
        <v>Koloru BUK w profilu E23 nie da się łączyć z prowadzeniem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Koloru BUK w profilu E23 nie da się łączyć z prowadzeniem FRAME.</v>
      </c>
      <c r="N38">
        <f t="shared" si="2"/>
        <v>1</v>
      </c>
    </row>
    <row r="39" spans="1:14" x14ac:dyDescent="0.2">
      <c r="A39" s="255" t="str">
        <f>výpočty!$R$14</f>
        <v>Pionowy (z góry na dół)</v>
      </c>
      <c r="B39" s="256" t="str">
        <f>výpočty!$R$9</f>
        <v>Do tyłu</v>
      </c>
      <c r="C39" t="str">
        <f>výpočty!$R$5</f>
        <v>Frame - nakładany z listwą maskującą</v>
      </c>
      <c r="D39" s="36" t="str">
        <f>výpočty!$W$8</f>
        <v>Czereśnia (E23)</v>
      </c>
      <c r="E39" t="s">
        <v>2130</v>
      </c>
      <c r="F39">
        <v>1</v>
      </c>
      <c r="G39" t="str">
        <f>Překlady!$A$176</f>
        <v>Koloru Czereśnia w profilu E23 nie da się łączyć z prowadzeniem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Koloru Czereśnia w profilu E23 nie da się łączyć z prowadzeniem FRAME.</v>
      </c>
      <c r="N39">
        <f t="shared" si="2"/>
        <v>1</v>
      </c>
    </row>
    <row r="40" spans="1:14" x14ac:dyDescent="0.2">
      <c r="A40" s="255" t="str">
        <f>výpočty!$R$14</f>
        <v>Pionowy (z góry na dół)</v>
      </c>
      <c r="B40" s="256" t="str">
        <f>výpočty!$R$9</f>
        <v>Do tyłu</v>
      </c>
      <c r="C40" t="str">
        <f>výpočty!$R$5</f>
        <v>Frame - nakładany z listwą maskującą</v>
      </c>
      <c r="D40" s="36" t="str">
        <f>výpočty!$W$9</f>
        <v>Klon (E23)</v>
      </c>
      <c r="E40" t="s">
        <v>2130</v>
      </c>
      <c r="F40">
        <v>1</v>
      </c>
      <c r="G40" t="str">
        <f>Překlady!$A$177</f>
        <v>Koloru Klon w profilu E23 nie da się łączyć z prowadzeniem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Koloru Klon w profilu E23 nie da się łączyć z prowadzeniem FRAME.</v>
      </c>
      <c r="N40">
        <f t="shared" si="2"/>
        <v>1</v>
      </c>
    </row>
    <row r="41" spans="1:14" x14ac:dyDescent="0.2">
      <c r="A41" s="255" t="str">
        <f>výpočty!$R$14</f>
        <v>Pionowy (z góry na dół)</v>
      </c>
      <c r="B41" s="256" t="str">
        <f>výpočty!$R$9</f>
        <v>Do tyłu</v>
      </c>
      <c r="C41" t="str">
        <f>výpočty!$R$5</f>
        <v>Frame - nakładany z listwą maskującą</v>
      </c>
      <c r="D41" s="36" t="str">
        <f>výpočty!$W$10</f>
        <v>Brzoza (E23)</v>
      </c>
      <c r="E41" t="s">
        <v>2130</v>
      </c>
      <c r="F41">
        <v>1</v>
      </c>
      <c r="G41" t="str">
        <f>Překlady!$A$175</f>
        <v>Koloru Brzoza w profilu E23 nie da się łączyć z prowadzeniem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Koloru Brzoza w profilu E23 nie da się łączyć z prowadzeniem FRAME.</v>
      </c>
      <c r="N41">
        <f t="shared" si="2"/>
        <v>1</v>
      </c>
    </row>
    <row r="42" spans="1:14" x14ac:dyDescent="0.2">
      <c r="A42" s="255" t="str">
        <f>výpočty!$R$14</f>
        <v>Pionowy (z góry na dół)</v>
      </c>
      <c r="B42" s="256" t="str">
        <f>výpočty!$R$9</f>
        <v>Do tyłu</v>
      </c>
      <c r="C42" t="str">
        <f>výpočty!$R$5</f>
        <v>Frame - nakładany z listwą maskującą</v>
      </c>
      <c r="D42" s="36" t="str">
        <f>výpočty!$W$11</f>
        <v>Czereśnia havana (E23)</v>
      </c>
      <c r="E42" t="s">
        <v>2131</v>
      </c>
      <c r="F42">
        <v>1</v>
      </c>
      <c r="G42" t="str">
        <f>Překlady!$A$170</f>
        <v>Koloru Czereśnia havana w profilu E23 nie da się łączyć z prowadzeniem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Koloru Czereśnia havana w profilu E23 nie da się łączyć z prowadzeniem FRAME.</v>
      </c>
      <c r="N42">
        <f t="shared" si="2"/>
        <v>1</v>
      </c>
    </row>
    <row r="43" spans="1:14" x14ac:dyDescent="0.2">
      <c r="A43" s="255" t="str">
        <f>výpočty!$R$14</f>
        <v>Pionowy (z góry na dół)</v>
      </c>
      <c r="B43" s="256" t="str">
        <f>výpočty!$R$9</f>
        <v>Do tyłu</v>
      </c>
      <c r="C43" t="str">
        <f>výpočty!$R$5</f>
        <v>Frame - nakładany z listwą maskującą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Koloru CALVADOS w profilu E23 nie da się łączyć z prowadzeniem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Koloru CALVADOS w profilu E23 nie da się łączyć z prowadzeniem FRAME.</v>
      </c>
      <c r="N43">
        <f t="shared" si="2"/>
        <v>1</v>
      </c>
    </row>
    <row r="44" spans="1:14" x14ac:dyDescent="0.2">
      <c r="A44" s="255" t="str">
        <f>výpočty!$R$14</f>
        <v>Pionowy (z góry na dół)</v>
      </c>
      <c r="B44" s="256" t="str">
        <f>výpočty!$R$9</f>
        <v>Do tyłu</v>
      </c>
      <c r="C44" t="str">
        <f>výpočty!$R$5</f>
        <v>Frame - nakładany z listwą maskującą</v>
      </c>
      <c r="D44" s="36" t="str">
        <f>výpočty!$W$14</f>
        <v>śnieżno biala mat (E9)</v>
      </c>
      <c r="E44" s="321" t="s">
        <v>2131</v>
      </c>
      <c r="F44" s="321">
        <v>1</v>
      </c>
      <c r="G44" s="321" t="str">
        <f>Překlady!$A$142</f>
        <v>Kolor śnieżno biały w profilu E9 można łączyć jedynie z prowadzeniem Classic i systemem nawijania do tyłu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Kolor śnieżno biały w profilu E9 można łączyć jedynie z prowadzeniem Classic i systemem nawijania do tyłu</v>
      </c>
      <c r="N44">
        <f t="shared" si="2"/>
        <v>1</v>
      </c>
    </row>
    <row r="45" spans="1:14" x14ac:dyDescent="0.2">
      <c r="A45" s="255" t="str">
        <f>výpočty!$R$14</f>
        <v>Pionowy (z góry na dół)</v>
      </c>
      <c r="B45" s="256" t="str">
        <f>výpočty!$R$9</f>
        <v>Do tyłu</v>
      </c>
      <c r="C45" t="str">
        <f>výpočty!$R$5</f>
        <v>Frame - nakładany z listwą maskującą</v>
      </c>
      <c r="D45" s="36" t="str">
        <f>výpočty!$W$15</f>
        <v>Aluminowa plastik (E4)</v>
      </c>
      <c r="E45" t="s">
        <v>2131</v>
      </c>
      <c r="F45">
        <v>1</v>
      </c>
      <c r="G45" s="321" t="str">
        <f>Překlady!$A$143</f>
        <v>Kolor aluminium plastik w profilu E4 jest idealny do poziomych rozwiązań w kombinacji z prowadzeniem Classic z systemem nawijania do tyłu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Kolor aluminium plastik w profilu E4 jest idealny do poziomych rozwiązań w kombinacji z prowadzeniem Classic z systemem nawijania do tyłu</v>
      </c>
      <c r="N45">
        <f t="shared" si="2"/>
        <v>1</v>
      </c>
    </row>
    <row r="46" spans="1:14" x14ac:dyDescent="0.2">
      <c r="A46" s="255" t="str">
        <f>výpočty!$R$14</f>
        <v>Pionowy (z góry na dół)</v>
      </c>
      <c r="B46" s="256" t="str">
        <f>výpočty!$R$9</f>
        <v>Do tyłu</v>
      </c>
      <c r="C46" t="str">
        <f>výpočty!$R$5</f>
        <v>Frame - nakładany z listwą maskującą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Pionowy (z góry na dół)</v>
      </c>
      <c r="B47" s="256" t="str">
        <f>výpočty!$R$9</f>
        <v>Do tyłu</v>
      </c>
      <c r="C47" t="str">
        <f>výpočty!$R$5</f>
        <v>Frame - nakładany z listwą maskującą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Pionowy (z góry na dół)</v>
      </c>
      <c r="B48" s="256" t="str">
        <f>výpočty!$R$9</f>
        <v>Do tyłu</v>
      </c>
      <c r="C48" t="str">
        <f>výpočty!$R$5</f>
        <v>Frame - nakładany z listwą maskującą</v>
      </c>
      <c r="D48" s="36" t="str">
        <f>výpočty!$W$19</f>
        <v>Aluminium szerokość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Pionowy (z góry na dół)</v>
      </c>
      <c r="B49" s="256" t="str">
        <f>výpočty!$R$9</f>
        <v>Do tyłu</v>
      </c>
      <c r="C49" t="str">
        <f>výpočty!$R$5</f>
        <v>Frame - nakładany z listwą maskującą</v>
      </c>
      <c r="D49" s="27" t="str">
        <f>výpočty!$W$20</f>
        <v>Nierdz. szerokość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Pionowy (z góry na dół)</v>
      </c>
      <c r="B50" s="256" t="str">
        <f>výpočty!$R$9</f>
        <v>Do tyłu</v>
      </c>
      <c r="C50" t="str">
        <f>výpočty!$R$6</f>
        <v>TOP - wpuszczany do przykręcenia metalowy z listwą maskującą</v>
      </c>
      <c r="D50" s="26" t="str">
        <f>výpočty!$W$3</f>
        <v>Czarny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Pionowy (z góry na dół)</v>
      </c>
      <c r="B51" s="256" t="str">
        <f>výpočty!$R$9</f>
        <v>Do tyłu</v>
      </c>
      <c r="C51" t="str">
        <f>výpočty!$R$6</f>
        <v>TOP - wpuszczany do przykręcenia metalowy z listwą maskującą</v>
      </c>
      <c r="D51" s="36" t="str">
        <f>výpočty!$W$4</f>
        <v>Biały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Pionowy (z góry na dół)</v>
      </c>
      <c r="B52" s="256" t="str">
        <f>výpočty!$R$9</f>
        <v>Do tyłu</v>
      </c>
      <c r="C52" t="str">
        <f>výpočty!$R$6</f>
        <v>TOP - wpuszczany do przykręcenia metalowy z listwą maskującą</v>
      </c>
      <c r="D52" s="36" t="str">
        <f>výpočty!$W$5</f>
        <v>Szary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Pionowy (z góry na dół)</v>
      </c>
      <c r="B53" s="256" t="str">
        <f>výpočty!$R$9</f>
        <v>Do tyłu</v>
      </c>
      <c r="C53" t="str">
        <f>výpočty!$R$6</f>
        <v>TOP - wpuszczany do przykręcenia metalowy z listwą maskującą</v>
      </c>
      <c r="D53" s="36" t="str">
        <f>výpočty!$W$6</f>
        <v>Aluminowa plastik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Pionowy (z góry na dół)</v>
      </c>
      <c r="B54" s="256" t="str">
        <f>výpočty!$R$9</f>
        <v>Do tyłu</v>
      </c>
      <c r="C54" t="str">
        <f>výpočty!$R$6</f>
        <v>TOP - wpuszczany do przykręcenia metalowy z listwą maskującą</v>
      </c>
      <c r="D54" s="36" t="str">
        <f>výpočty!$W$7</f>
        <v>Buk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Pionowy (z góry na dół)</v>
      </c>
      <c r="B55" s="256" t="str">
        <f>výpočty!$R$9</f>
        <v>Do tyłu</v>
      </c>
      <c r="C55" t="str">
        <f>výpočty!$R$6</f>
        <v>TOP - wpuszczany do przykręcenia metalowy z listwą maskującą</v>
      </c>
      <c r="D55" s="36" t="str">
        <f>výpočty!$W$8</f>
        <v>Czereśnia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Pionowy (z góry na dół)</v>
      </c>
      <c r="B56" s="256" t="str">
        <f>výpočty!$R$9</f>
        <v>Do tyłu</v>
      </c>
      <c r="C56" t="str">
        <f>výpočty!$R$6</f>
        <v>TOP - wpuszczany do przykręcenia metalowy z listwą maskującą</v>
      </c>
      <c r="D56" s="36" t="str">
        <f>výpočty!$W$9</f>
        <v>Klon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Pionowy (z góry na dół)</v>
      </c>
      <c r="B57" s="256" t="str">
        <f>výpočty!$R$9</f>
        <v>Do tyłu</v>
      </c>
      <c r="C57" t="str">
        <f>výpočty!$R$6</f>
        <v>TOP - wpuszczany do przykręcenia metalowy z listwą maskującą</v>
      </c>
      <c r="D57" s="36" t="str">
        <f>výpočty!$W$10</f>
        <v>Brzoza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Pionowy (z góry na dół)</v>
      </c>
      <c r="B58" s="256" t="str">
        <f>výpočty!$R$9</f>
        <v>Do tyłu</v>
      </c>
      <c r="C58" t="str">
        <f>výpočty!$R$6</f>
        <v>TOP - wpuszczany do przykręcenia metalowy z listwą maskującą</v>
      </c>
      <c r="D58" s="36" t="str">
        <f>výpočty!$W$11</f>
        <v>Czereśnia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Pionowy (z góry na dół)</v>
      </c>
      <c r="B59" s="256" t="str">
        <f>výpočty!$R$9</f>
        <v>Do tyłu</v>
      </c>
      <c r="C59" t="str">
        <f>výpočty!$R$6</f>
        <v>TOP - wpuszczany do przykręcenia metalowy z listwą maskującą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Pionowy (z góry na dół)</v>
      </c>
      <c r="B60" s="256" t="str">
        <f>výpočty!$R$9</f>
        <v>Do tyłu</v>
      </c>
      <c r="C60" t="str">
        <f>výpočty!$R$6</f>
        <v>TOP - wpuszczany do przykręcenia metalowy z listwą maskującą</v>
      </c>
      <c r="D60" s="350" t="str">
        <f>výpočty!$W$14</f>
        <v>śnieżno biala mat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Pionowy (z góry na dół)</v>
      </c>
      <c r="B61" s="256" t="str">
        <f>výpočty!$R$9</f>
        <v>Do tyłu</v>
      </c>
      <c r="C61" t="str">
        <f>výpočty!$R$6</f>
        <v>TOP - wpuszczany do przykręcenia metalowy z listwą maskującą</v>
      </c>
      <c r="D61" s="36" t="str">
        <f>výpočty!$W$15</f>
        <v>Aluminowa plastik (E4)</v>
      </c>
      <c r="E61" t="s">
        <v>2131</v>
      </c>
      <c r="F61">
        <v>1</v>
      </c>
      <c r="G61" s="321" t="str">
        <f>Překlady!$A$143</f>
        <v>Kolor aluminium plastik w profilu E4 jest idealny do poziomych rozwiązań w kombinacji z prowadzeniem Classic z systemem nawijania do tyłu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Kolor aluminium plastik w profilu E4 jest idealny do poziomych rozwiązań w kombinacji z prowadzeniem Classic z systemem nawijania do tyłu</v>
      </c>
      <c r="N61">
        <f t="shared" si="2"/>
        <v>1</v>
      </c>
    </row>
    <row r="62" spans="1:14" x14ac:dyDescent="0.2">
      <c r="A62" s="255" t="str">
        <f>výpočty!$R$14</f>
        <v>Pionowy (z góry na dół)</v>
      </c>
      <c r="B62" s="256" t="str">
        <f>výpočty!$R$9</f>
        <v>Do tyłu</v>
      </c>
      <c r="C62" t="str">
        <f>výpočty!$R$6</f>
        <v>TOP - wpuszczany do przykręcenia metalowy z listwą maskującą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Pionowy (z góry na dół)</v>
      </c>
      <c r="B63" s="256" t="str">
        <f>výpočty!$R$9</f>
        <v>Do tyłu</v>
      </c>
      <c r="C63" t="str">
        <f>výpočty!$R$6</f>
        <v>TOP - wpuszczany do przykręcenia metalowy z listwą maskującą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Pionowy (z góry na dół)</v>
      </c>
      <c r="B64" s="256" t="str">
        <f>výpočty!$R$9</f>
        <v>Do tyłu</v>
      </c>
      <c r="C64" t="str">
        <f>výpočty!$R$6</f>
        <v>TOP - wpuszczany do przykręcenia metalowy z listwą maskującą</v>
      </c>
      <c r="D64" s="36" t="str">
        <f>výpočty!$W$19</f>
        <v>Aluminium szerokość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Pionowy (z góry na dół)</v>
      </c>
      <c r="B65" s="256" t="str">
        <f>výpočty!$R$9</f>
        <v>Do tyłu</v>
      </c>
      <c r="C65" t="str">
        <f>výpočty!$R$6</f>
        <v>TOP - wpuszczany do przykręcenia metalowy z listwą maskującą</v>
      </c>
      <c r="D65" s="27" t="str">
        <f>výpočty!$W$20</f>
        <v>Nierdz. szerokość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Pionowy (z góry na dół)</v>
      </c>
      <c r="B66" s="256" t="str">
        <f>výpočty!$R$9</f>
        <v>Do tyłu</v>
      </c>
      <c r="C66" t="str">
        <f>výpočty!$R$7</f>
        <v>Nakładany z prowadzeniem metalic-line 29 mm i mechanimem C3</v>
      </c>
      <c r="D66" s="26" t="str">
        <f>výpočty!$W$3</f>
        <v>Czarny (E23)</v>
      </c>
      <c r="E66" t="s">
        <v>2131</v>
      </c>
      <c r="F66">
        <v>1</v>
      </c>
      <c r="G66" s="321" t="str">
        <f>Překlady!$A$146</f>
        <v>Nakładany system prowadzenia z metalic-line 29 mm i mechanizmem C3 można łączyć jedynie z systemem nawijania przez mechanike C3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Nakładany system prowadzenia z metalic-line 29 mm i mechanizmem C3 można łączyć jedynie z systemem nawijania przez mechanike C3</v>
      </c>
      <c r="N66">
        <f t="shared" si="2"/>
        <v>1</v>
      </c>
    </row>
    <row r="67" spans="1:14" x14ac:dyDescent="0.2">
      <c r="A67" s="255" t="str">
        <f>výpočty!$R$14</f>
        <v>Pionowy (z góry na dół)</v>
      </c>
      <c r="B67" s="256" t="str">
        <f>výpočty!$R$9</f>
        <v>Do tyłu</v>
      </c>
      <c r="C67" t="str">
        <f>výpočty!$R$7</f>
        <v>Nakładany z prowadzeniem metalic-line 29 mm i mechanimem C3</v>
      </c>
      <c r="D67" s="36" t="str">
        <f>výpočty!$W$4</f>
        <v>Biały (E23)</v>
      </c>
      <c r="E67" t="s">
        <v>2131</v>
      </c>
      <c r="F67">
        <v>1</v>
      </c>
      <c r="G67" s="321" t="str">
        <f>Překlady!$A$146</f>
        <v>Nakładany system prowadzenia z metalic-line 29 mm i mechanizmem C3 można łączyć jedynie z systemem nawijania przez mechanike C3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Nakładany system prowadzenia z metalic-line 29 mm i mechanizmem C3 można łączyć jedynie z systemem nawijania przez mechanike C3</v>
      </c>
      <c r="N67">
        <f t="shared" ref="N67:N130" si="5">F:F</f>
        <v>1</v>
      </c>
    </row>
    <row r="68" spans="1:14" x14ac:dyDescent="0.2">
      <c r="A68" s="255" t="str">
        <f>výpočty!$R$14</f>
        <v>Pionowy (z góry na dół)</v>
      </c>
      <c r="B68" s="256" t="str">
        <f>výpočty!$R$9</f>
        <v>Do tyłu</v>
      </c>
      <c r="C68" t="str">
        <f>výpočty!$R$7</f>
        <v>Nakładany z prowadzeniem metalic-line 29 mm i mechanimem C3</v>
      </c>
      <c r="D68" s="36" t="str">
        <f>výpočty!$W$5</f>
        <v>Szary (E23)</v>
      </c>
      <c r="E68" t="s">
        <v>2131</v>
      </c>
      <c r="F68">
        <v>1</v>
      </c>
      <c r="G68" s="321" t="str">
        <f>Překlady!$A$146</f>
        <v>Nakładany system prowadzenia z metalic-line 29 mm i mechanizmem C3 można łączyć jedynie z systemem nawijania przez mechanike C3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Nakładany system prowadzenia z metalic-line 29 mm i mechanizmem C3 można łączyć jedynie z systemem nawijania przez mechanike C3</v>
      </c>
      <c r="N68">
        <f t="shared" si="5"/>
        <v>1</v>
      </c>
    </row>
    <row r="69" spans="1:14" x14ac:dyDescent="0.2">
      <c r="A69" s="255" t="str">
        <f>výpočty!$R$14</f>
        <v>Pionowy (z góry na dół)</v>
      </c>
      <c r="B69" s="256" t="str">
        <f>výpočty!$R$9</f>
        <v>Do tyłu</v>
      </c>
      <c r="C69" t="str">
        <f>výpočty!$R$7</f>
        <v>Nakładany z prowadzeniem metalic-line 29 mm i mechanimem C3</v>
      </c>
      <c r="D69" s="36" t="str">
        <f>výpočty!$W$6</f>
        <v>Aluminowa plastik (E23)</v>
      </c>
      <c r="E69" t="s">
        <v>2131</v>
      </c>
      <c r="F69">
        <v>1</v>
      </c>
      <c r="G69" s="321" t="str">
        <f>Překlady!$A$146</f>
        <v>Nakładany system prowadzenia z metalic-line 29 mm i mechanizmem C3 można łączyć jedynie z systemem nawijania przez mechanike C3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Nakładany system prowadzenia z metalic-line 29 mm i mechanizmem C3 można łączyć jedynie z systemem nawijania przez mechanike C3</v>
      </c>
      <c r="N69">
        <f t="shared" si="5"/>
        <v>1</v>
      </c>
    </row>
    <row r="70" spans="1:14" x14ac:dyDescent="0.2">
      <c r="A70" s="255" t="str">
        <f>výpočty!$R$14</f>
        <v>Pionowy (z góry na dół)</v>
      </c>
      <c r="B70" s="256" t="str">
        <f>výpočty!$R$9</f>
        <v>Do tyłu</v>
      </c>
      <c r="C70" t="str">
        <f>výpočty!$R$7</f>
        <v>Nakładany z prowadzeniem metalic-line 29 mm i mechanimem C3</v>
      </c>
      <c r="D70" s="36" t="str">
        <f>výpočty!$W$7</f>
        <v>Buk (E23)</v>
      </c>
      <c r="E70" t="s">
        <v>2131</v>
      </c>
      <c r="F70">
        <v>1</v>
      </c>
      <c r="G70" s="321" t="str">
        <f>Překlady!$A$146</f>
        <v>Nakładany system prowadzenia z metalic-line 29 mm i mechanizmem C3 można łączyć jedynie z systemem nawijania przez mechanike C3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Nakładany system prowadzenia z metalic-line 29 mm i mechanizmem C3 można łączyć jedynie z systemem nawijania przez mechanike C3</v>
      </c>
      <c r="N70">
        <f t="shared" si="5"/>
        <v>1</v>
      </c>
    </row>
    <row r="71" spans="1:14" x14ac:dyDescent="0.2">
      <c r="A71" s="255" t="str">
        <f>výpočty!$R$14</f>
        <v>Pionowy (z góry na dół)</v>
      </c>
      <c r="B71" s="256" t="str">
        <f>výpočty!$R$9</f>
        <v>Do tyłu</v>
      </c>
      <c r="C71" t="str">
        <f>výpočty!$R$7</f>
        <v>Nakładany z prowadzeniem metalic-line 29 mm i mechanimem C3</v>
      </c>
      <c r="D71" s="36" t="str">
        <f>výpočty!$W$8</f>
        <v>Czereśnia (E23)</v>
      </c>
      <c r="E71" t="s">
        <v>2131</v>
      </c>
      <c r="F71">
        <v>1</v>
      </c>
      <c r="G71" s="321" t="str">
        <f>Překlady!$A$146</f>
        <v>Nakładany system prowadzenia z metalic-line 29 mm i mechanizmem C3 można łączyć jedynie z systemem nawijania przez mechanike C3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Nakładany system prowadzenia z metalic-line 29 mm i mechanizmem C3 można łączyć jedynie z systemem nawijania przez mechanike C3</v>
      </c>
      <c r="N71">
        <f t="shared" si="5"/>
        <v>1</v>
      </c>
    </row>
    <row r="72" spans="1:14" x14ac:dyDescent="0.2">
      <c r="A72" s="255" t="str">
        <f>výpočty!$R$14</f>
        <v>Pionowy (z góry na dół)</v>
      </c>
      <c r="B72" s="256" t="str">
        <f>výpočty!$R$9</f>
        <v>Do tyłu</v>
      </c>
      <c r="C72" t="str">
        <f>výpočty!$R$7</f>
        <v>Nakładany z prowadzeniem metalic-line 29 mm i mechanimem C3</v>
      </c>
      <c r="D72" s="36" t="str">
        <f>výpočty!$W$9</f>
        <v>Klon (E23)</v>
      </c>
      <c r="E72" t="s">
        <v>2131</v>
      </c>
      <c r="F72">
        <v>1</v>
      </c>
      <c r="G72" s="321" t="str">
        <f>Překlady!$A$146</f>
        <v>Nakładany system prowadzenia z metalic-line 29 mm i mechanizmem C3 można łączyć jedynie z systemem nawijania przez mechanike C3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Nakładany system prowadzenia z metalic-line 29 mm i mechanizmem C3 można łączyć jedynie z systemem nawijania przez mechanike C3</v>
      </c>
      <c r="N72">
        <f t="shared" si="5"/>
        <v>1</v>
      </c>
    </row>
    <row r="73" spans="1:14" x14ac:dyDescent="0.2">
      <c r="A73" s="255" t="str">
        <f>výpočty!$R$14</f>
        <v>Pionowy (z góry na dół)</v>
      </c>
      <c r="B73" s="256" t="str">
        <f>výpočty!$R$9</f>
        <v>Do tyłu</v>
      </c>
      <c r="C73" t="str">
        <f>výpočty!$R$7</f>
        <v>Nakładany z prowadzeniem metalic-line 29 mm i mechanimem C3</v>
      </c>
      <c r="D73" s="36" t="str">
        <f>výpočty!$W$10</f>
        <v>Brzoza (E23)</v>
      </c>
      <c r="E73" t="s">
        <v>2131</v>
      </c>
      <c r="F73">
        <v>1</v>
      </c>
      <c r="G73" s="321" t="str">
        <f>Překlady!$A$146</f>
        <v>Nakładany system prowadzenia z metalic-line 29 mm i mechanizmem C3 można łączyć jedynie z systemem nawijania przez mechanike C3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Nakładany system prowadzenia z metalic-line 29 mm i mechanizmem C3 można łączyć jedynie z systemem nawijania przez mechanike C3</v>
      </c>
      <c r="N73">
        <f t="shared" si="5"/>
        <v>1</v>
      </c>
    </row>
    <row r="74" spans="1:14" x14ac:dyDescent="0.2">
      <c r="A74" s="255" t="str">
        <f>výpočty!$R$14</f>
        <v>Pionowy (z góry na dół)</v>
      </c>
      <c r="B74" s="256" t="str">
        <f>výpočty!$R$9</f>
        <v>Do tyłu</v>
      </c>
      <c r="C74" t="str">
        <f>výpočty!$R$7</f>
        <v>Nakładany z prowadzeniem metalic-line 29 mm i mechanimem C3</v>
      </c>
      <c r="D74" s="36" t="str">
        <f>výpočty!$W$11</f>
        <v>Czereśnia havana (E23)</v>
      </c>
      <c r="E74" t="s">
        <v>2131</v>
      </c>
      <c r="F74">
        <v>1</v>
      </c>
      <c r="G74" s="321" t="str">
        <f>Překlady!$A$146</f>
        <v>Nakładany system prowadzenia z metalic-line 29 mm i mechanizmem C3 można łączyć jedynie z systemem nawijania przez mechanike C3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Nakładany system prowadzenia z metalic-line 29 mm i mechanizmem C3 można łączyć jedynie z systemem nawijania przez mechanike C3</v>
      </c>
      <c r="N74">
        <f t="shared" si="5"/>
        <v>1</v>
      </c>
    </row>
    <row r="75" spans="1:14" x14ac:dyDescent="0.2">
      <c r="A75" s="255" t="str">
        <f>výpočty!$R$14</f>
        <v>Pionowy (z góry na dół)</v>
      </c>
      <c r="B75" s="256" t="str">
        <f>výpočty!$R$9</f>
        <v>Do tyłu</v>
      </c>
      <c r="C75" t="str">
        <f>výpočty!$R$7</f>
        <v>Nakładany z prowadzeniem metalic-line 29 mm i mechanimem C3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>Nakładany system prowadzenia z metalic-line 29 mm i mechanizmem C3 można łączyć jedynie z systemem nawijania przez mechanike C3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Nakładany system prowadzenia z metalic-line 29 mm i mechanizmem C3 można łączyć jedynie z systemem nawijania przez mechanike C3</v>
      </c>
      <c r="N75">
        <f t="shared" si="5"/>
        <v>1</v>
      </c>
    </row>
    <row r="76" spans="1:14" x14ac:dyDescent="0.2">
      <c r="A76" s="255" t="str">
        <f>výpočty!$R$14</f>
        <v>Pionowy (z góry na dół)</v>
      </c>
      <c r="B76" s="256" t="str">
        <f>výpočty!$R$9</f>
        <v>Do tyłu</v>
      </c>
      <c r="C76" t="str">
        <f>výpočty!$R$7</f>
        <v>Nakładany z prowadzeniem metalic-line 29 mm i mechanimem C3</v>
      </c>
      <c r="D76" s="36" t="str">
        <f>výpočty!$W$14</f>
        <v>śnieżno biala mat (E9)</v>
      </c>
      <c r="E76" t="s">
        <v>2131</v>
      </c>
      <c r="F76">
        <v>1</v>
      </c>
      <c r="G76" s="321" t="str">
        <f>Překlady!$A$142</f>
        <v>Kolor śnieżno biały w profilu E9 można łączyć jedynie z prowadzeniem Classic i systemem nawijania do tyłu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Kolor śnieżno biały w profilu E9 można łączyć jedynie z prowadzeniem Classic i systemem nawijania do tyłu</v>
      </c>
      <c r="N76">
        <f t="shared" si="5"/>
        <v>1</v>
      </c>
    </row>
    <row r="77" spans="1:14" x14ac:dyDescent="0.2">
      <c r="A77" s="255" t="str">
        <f>výpočty!$R$14</f>
        <v>Pionowy (z góry na dół)</v>
      </c>
      <c r="B77" s="256" t="str">
        <f>výpočty!$R$9</f>
        <v>Do tyłu</v>
      </c>
      <c r="C77" t="str">
        <f>výpočty!$R$7</f>
        <v>Nakładany z prowadzeniem metalic-line 29 mm i mechanimem C3</v>
      </c>
      <c r="D77" s="36" t="str">
        <f>výpočty!$W$15</f>
        <v>Aluminowa plastik (E4)</v>
      </c>
      <c r="E77" t="s">
        <v>2131</v>
      </c>
      <c r="F77">
        <v>1</v>
      </c>
      <c r="G77" s="321" t="str">
        <f>Překlady!$A$143</f>
        <v>Kolor aluminium plastik w profilu E4 jest idealny do poziomych rozwiązań w kombinacji z prowadzeniem Classic z systemem nawijania do tyłu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Kolor aluminium plastik w profilu E4 jest idealny do poziomych rozwiązań w kombinacji z prowadzeniem Classic z systemem nawijania do tyłu</v>
      </c>
      <c r="N77">
        <f t="shared" si="5"/>
        <v>1</v>
      </c>
    </row>
    <row r="78" spans="1:14" x14ac:dyDescent="0.2">
      <c r="A78" s="255" t="str">
        <f>výpočty!$R$14</f>
        <v>Pionowy (z góry na dół)</v>
      </c>
      <c r="B78" s="256" t="str">
        <f>výpočty!$R$9</f>
        <v>Do tyłu</v>
      </c>
      <c r="C78" t="str">
        <f>výpočty!$R$7</f>
        <v>Nakładany z prowadzeniem metalic-line 29 mm i mechanimem C3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>Nakładany system prowadzenia z metalic-line 29 mm i mechanizmem C3 można łączyć jedynie z systemem nawijania przez mechanike C3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Nakładany system prowadzenia z metalic-line 29 mm i mechanizmem C3 można łączyć jedynie z systemem nawijania przez mechanike C3</v>
      </c>
      <c r="N78">
        <f t="shared" si="5"/>
        <v>0</v>
      </c>
    </row>
    <row r="79" spans="1:14" x14ac:dyDescent="0.2">
      <c r="A79" s="255" t="str">
        <f>výpočty!$R$14</f>
        <v>Pionowy (z góry na dół)</v>
      </c>
      <c r="B79" s="256" t="str">
        <f>výpočty!$R$9</f>
        <v>Do tyłu</v>
      </c>
      <c r="C79" t="str">
        <f>výpočty!$R$7</f>
        <v>Nakładany z prowadzeniem metalic-line 29 mm i mechanimem C3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>Nakładany system prowadzenia z metalic-line 29 mm i mechanizmem C3 można łączyć jedynie z systemem nawijania przez mechanike C3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Nakładany system prowadzenia z metalic-line 29 mm i mechanizmem C3 można łączyć jedynie z systemem nawijania przez mechanike C3</v>
      </c>
      <c r="N79">
        <f t="shared" si="5"/>
        <v>0</v>
      </c>
    </row>
    <row r="80" spans="1:14" x14ac:dyDescent="0.2">
      <c r="A80" s="255" t="str">
        <f>výpočty!$R$14</f>
        <v>Pionowy (z góry na dół)</v>
      </c>
      <c r="B80" s="256" t="str">
        <f>výpočty!$R$9</f>
        <v>Do tyłu</v>
      </c>
      <c r="C80" t="str">
        <f>výpočty!$R$7</f>
        <v>Nakładany z prowadzeniem metalic-line 29 mm i mechanimem C3</v>
      </c>
      <c r="D80" s="36" t="str">
        <f>výpočty!$W$19</f>
        <v>Aluminium szerokość 25 mm (metallic-line)</v>
      </c>
      <c r="E80" s="321" t="s">
        <v>2131</v>
      </c>
      <c r="F80">
        <v>0</v>
      </c>
      <c r="G80" s="321" t="str">
        <f>Překlady!$A$146</f>
        <v>Nakładany system prowadzenia z metalic-line 29 mm i mechanizmem C3 można łączyć jedynie z systemem nawijania przez mechanike C3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Nakładany system prowadzenia z metalic-line 29 mm i mechanizmem C3 można łączyć jedynie z systemem nawijania przez mechanike C3</v>
      </c>
      <c r="N80">
        <f t="shared" si="5"/>
        <v>0</v>
      </c>
    </row>
    <row r="81" spans="1:14" ht="13.5" thickBot="1" x14ac:dyDescent="0.25">
      <c r="A81" s="255" t="str">
        <f>výpočty!$R$14</f>
        <v>Pionowy (z góry na dół)</v>
      </c>
      <c r="B81" s="256" t="str">
        <f>výpočty!$R$9</f>
        <v>Do tyłu</v>
      </c>
      <c r="C81" t="str">
        <f>výpočty!$R$7</f>
        <v>Nakładany z prowadzeniem metalic-line 29 mm i mechanimem C3</v>
      </c>
      <c r="D81" s="27" t="str">
        <f>výpočty!$W$20</f>
        <v>Nierdz. szerokość 25 mm (metallic-line)</v>
      </c>
      <c r="E81" s="321" t="s">
        <v>2131</v>
      </c>
      <c r="F81">
        <v>0</v>
      </c>
      <c r="G81" s="321" t="str">
        <f>Překlady!$A$146</f>
        <v>Nakładany system prowadzenia z metalic-line 29 mm i mechanizmem C3 można łączyć jedynie z systemem nawijania przez mechanike C3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Nakładany system prowadzenia z metalic-line 29 mm i mechanizmem C3 można łączyć jedynie z systemem nawijania przez mechanike C3</v>
      </c>
      <c r="N81">
        <f t="shared" si="5"/>
        <v>0</v>
      </c>
    </row>
    <row r="82" spans="1:14" x14ac:dyDescent="0.2">
      <c r="A82" s="255" t="str">
        <f>výpočty!$R$14</f>
        <v>Pionowy (z góry na dół)</v>
      </c>
      <c r="B82" s="256" t="str">
        <f>výpočty!$R$10</f>
        <v>Do ślimaka roletowego</v>
      </c>
      <c r="C82" t="str">
        <f>výpočty!$R$3</f>
        <v>TOP Basic - wpuszczany do przykręcenia plastikowy</v>
      </c>
      <c r="D82" s="26" t="str">
        <f>výpočty!$W$3</f>
        <v>Czarny (E23)</v>
      </c>
      <c r="E82" t="s">
        <v>2131</v>
      </c>
      <c r="F82">
        <v>1</v>
      </c>
      <c r="G82" t="str">
        <f>Překlady!$A$147</f>
        <v>Systemu TOP BASIC nie da się zastosować z ślimakiem roletowym. Zalecamy wybrać wersję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Systemu TOP BASIC nie da się zastosować z ślimakiem roletowym. Zalecamy wybrać wersję TOP.</v>
      </c>
      <c r="N82">
        <f t="shared" si="5"/>
        <v>1</v>
      </c>
    </row>
    <row r="83" spans="1:14" x14ac:dyDescent="0.2">
      <c r="A83" s="255" t="str">
        <f>výpočty!$R$14</f>
        <v>Pionowy (z góry na dół)</v>
      </c>
      <c r="B83" s="256" t="str">
        <f>výpočty!$R$10</f>
        <v>Do ślimaka roletowego</v>
      </c>
      <c r="C83" t="str">
        <f>výpočty!$R$3</f>
        <v>TOP Basic - wpuszczany do przykręcenia plastikowy</v>
      </c>
      <c r="D83" s="36" t="str">
        <f>výpočty!$W$4</f>
        <v>Biały (E23)</v>
      </c>
      <c r="E83" t="s">
        <v>2131</v>
      </c>
      <c r="F83">
        <v>1</v>
      </c>
      <c r="G83" t="str">
        <f>Překlady!$A$147</f>
        <v>Systemu TOP BASIC nie da się zastosować z ślimakiem roletowym. Zalecamy wybrać wersję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Systemu TOP BASIC nie da się zastosować z ślimakiem roletowym. Zalecamy wybrać wersję TOP.</v>
      </c>
      <c r="N83">
        <f t="shared" si="5"/>
        <v>1</v>
      </c>
    </row>
    <row r="84" spans="1:14" x14ac:dyDescent="0.2">
      <c r="A84" s="255" t="str">
        <f>výpočty!$R$14</f>
        <v>Pionowy (z góry na dół)</v>
      </c>
      <c r="B84" s="256" t="str">
        <f>výpočty!$R$10</f>
        <v>Do ślimaka roletowego</v>
      </c>
      <c r="C84" t="str">
        <f>výpočty!$R$3</f>
        <v>TOP Basic - wpuszczany do przykręcenia plastikowy</v>
      </c>
      <c r="D84" s="36" t="str">
        <f>výpočty!$W$5</f>
        <v>Szary (E23)</v>
      </c>
      <c r="E84" t="s">
        <v>2131</v>
      </c>
      <c r="F84">
        <v>1</v>
      </c>
      <c r="G84" t="str">
        <f>Překlady!$A$147</f>
        <v>Systemu TOP BASIC nie da się zastosować z ślimakiem roletowym. Zalecamy wybrać wersję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Systemu TOP BASIC nie da się zastosować z ślimakiem roletowym. Zalecamy wybrać wersję TOP.</v>
      </c>
      <c r="N84">
        <f t="shared" si="5"/>
        <v>1</v>
      </c>
    </row>
    <row r="85" spans="1:14" x14ac:dyDescent="0.2">
      <c r="A85" s="255" t="str">
        <f>výpočty!$R$14</f>
        <v>Pionowy (z góry na dół)</v>
      </c>
      <c r="B85" s="256" t="str">
        <f>výpočty!$R$10</f>
        <v>Do ślimaka roletowego</v>
      </c>
      <c r="C85" t="str">
        <f>výpočty!$R$3</f>
        <v>TOP Basic - wpuszczany do przykręcenia plastikowy</v>
      </c>
      <c r="D85" s="36" t="str">
        <f>výpočty!$W$6</f>
        <v>Aluminowa plastik (E23)</v>
      </c>
      <c r="E85" t="s">
        <v>2131</v>
      </c>
      <c r="F85">
        <v>1</v>
      </c>
      <c r="G85" t="str">
        <f>Překlady!$A$147</f>
        <v>Systemu TOP BASIC nie da się zastosować z ślimakiem roletowym. Zalecamy wybrać wersję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Systemu TOP BASIC nie da się zastosować z ślimakiem roletowym. Zalecamy wybrać wersję TOP.</v>
      </c>
      <c r="N85">
        <f t="shared" si="5"/>
        <v>1</v>
      </c>
    </row>
    <row r="86" spans="1:14" x14ac:dyDescent="0.2">
      <c r="A86" s="255" t="str">
        <f>výpočty!$R$14</f>
        <v>Pionowy (z góry na dół)</v>
      </c>
      <c r="B86" s="256" t="str">
        <f>výpočty!$R$10</f>
        <v>Do ślimaka roletowego</v>
      </c>
      <c r="C86" t="str">
        <f>výpočty!$R$3</f>
        <v>TOP Basic - wpuszczany do przykręcenia plastikowy</v>
      </c>
      <c r="D86" s="36" t="str">
        <f>výpočty!$W$7</f>
        <v>Buk (E23)</v>
      </c>
      <c r="E86" t="s">
        <v>2131</v>
      </c>
      <c r="F86">
        <v>1</v>
      </c>
      <c r="G86" t="str">
        <f>Překlady!$A$147</f>
        <v>Systemu TOP BASIC nie da się zastosować z ślimakiem roletowym. Zalecamy wybrać wersję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Systemu TOP BASIC nie da się zastosować z ślimakiem roletowym. Zalecamy wybrać wersję TOP.</v>
      </c>
      <c r="N86">
        <f t="shared" si="5"/>
        <v>1</v>
      </c>
    </row>
    <row r="87" spans="1:14" x14ac:dyDescent="0.2">
      <c r="A87" s="255" t="str">
        <f>výpočty!$R$14</f>
        <v>Pionowy (z góry na dół)</v>
      </c>
      <c r="B87" s="256" t="str">
        <f>výpočty!$R$10</f>
        <v>Do ślimaka roletowego</v>
      </c>
      <c r="C87" t="str">
        <f>výpočty!$R$3</f>
        <v>TOP Basic - wpuszczany do przykręcenia plastikowy</v>
      </c>
      <c r="D87" s="36" t="str">
        <f>výpočty!$W$8</f>
        <v>Czereśnia (E23)</v>
      </c>
      <c r="E87" t="s">
        <v>2131</v>
      </c>
      <c r="F87">
        <v>1</v>
      </c>
      <c r="G87" t="str">
        <f>Překlady!$A$147</f>
        <v>Systemu TOP BASIC nie da się zastosować z ślimakiem roletowym. Zalecamy wybrać wersję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Systemu TOP BASIC nie da się zastosować z ślimakiem roletowym. Zalecamy wybrać wersję TOP.</v>
      </c>
      <c r="N87">
        <f t="shared" si="5"/>
        <v>1</v>
      </c>
    </row>
    <row r="88" spans="1:14" x14ac:dyDescent="0.2">
      <c r="A88" s="255" t="str">
        <f>výpočty!$R$14</f>
        <v>Pionowy (z góry na dół)</v>
      </c>
      <c r="B88" s="256" t="str">
        <f>výpočty!$R$10</f>
        <v>Do ślimaka roletowego</v>
      </c>
      <c r="C88" t="str">
        <f>výpočty!$R$3</f>
        <v>TOP Basic - wpuszczany do przykręcenia plastikowy</v>
      </c>
      <c r="D88" s="36" t="str">
        <f>výpočty!$W$9</f>
        <v>Klon (E23)</v>
      </c>
      <c r="E88" t="s">
        <v>2131</v>
      </c>
      <c r="F88">
        <v>1</v>
      </c>
      <c r="G88" t="str">
        <f>Překlady!$A$147</f>
        <v>Systemu TOP BASIC nie da się zastosować z ślimakiem roletowym. Zalecamy wybrać wersję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Systemu TOP BASIC nie da się zastosować z ślimakiem roletowym. Zalecamy wybrać wersję TOP.</v>
      </c>
      <c r="N88">
        <f t="shared" si="5"/>
        <v>1</v>
      </c>
    </row>
    <row r="89" spans="1:14" x14ac:dyDescent="0.2">
      <c r="A89" s="255" t="str">
        <f>výpočty!$R$14</f>
        <v>Pionowy (z góry na dół)</v>
      </c>
      <c r="B89" s="256" t="str">
        <f>výpočty!$R$10</f>
        <v>Do ślimaka roletowego</v>
      </c>
      <c r="C89" t="str">
        <f>výpočty!$R$3</f>
        <v>TOP Basic - wpuszczany do przykręcenia plastikowy</v>
      </c>
      <c r="D89" s="36" t="str">
        <f>výpočty!$W$10</f>
        <v>Brzoza (E23)</v>
      </c>
      <c r="E89" t="s">
        <v>2131</v>
      </c>
      <c r="F89">
        <v>1</v>
      </c>
      <c r="G89" t="str">
        <f>Překlady!$A$147</f>
        <v>Systemu TOP BASIC nie da się zastosować z ślimakiem roletowym. Zalecamy wybrać wersję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Systemu TOP BASIC nie da się zastosować z ślimakiem roletowym. Zalecamy wybrać wersję TOP.</v>
      </c>
      <c r="N89">
        <f t="shared" si="5"/>
        <v>1</v>
      </c>
    </row>
    <row r="90" spans="1:14" x14ac:dyDescent="0.2">
      <c r="A90" s="255" t="str">
        <f>výpočty!$R$14</f>
        <v>Pionowy (z góry na dół)</v>
      </c>
      <c r="B90" s="256" t="str">
        <f>výpočty!$R$10</f>
        <v>Do ślimaka roletowego</v>
      </c>
      <c r="C90" t="str">
        <f>výpočty!$R$3</f>
        <v>TOP Basic - wpuszczany do przykręcenia plastikowy</v>
      </c>
      <c r="D90" s="36" t="str">
        <f>výpočty!$W$11</f>
        <v>Czereśnia havana (E23)</v>
      </c>
      <c r="E90" t="s">
        <v>2131</v>
      </c>
      <c r="F90">
        <v>1</v>
      </c>
      <c r="G90" t="str">
        <f>Překlady!$A$147</f>
        <v>Systemu TOP BASIC nie da się zastosować z ślimakiem roletowym. Zalecamy wybrać wersję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Systemu TOP BASIC nie da się zastosować z ślimakiem roletowym. Zalecamy wybrać wersję TOP.</v>
      </c>
      <c r="N90">
        <f t="shared" si="5"/>
        <v>1</v>
      </c>
    </row>
    <row r="91" spans="1:14" x14ac:dyDescent="0.2">
      <c r="A91" s="255" t="str">
        <f>výpočty!$R$14</f>
        <v>Pionowy (z góry na dół)</v>
      </c>
      <c r="B91" s="256" t="str">
        <f>výpočty!$R$10</f>
        <v>Do ślimaka roletowego</v>
      </c>
      <c r="C91" t="str">
        <f>výpočty!$R$3</f>
        <v>TOP Basic - wpuszczany do przykręcenia plastikowy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>Systemu TOP BASIC nie da się zastosować z ślimakiem roletowym. Zalecamy wybrać wersję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Systemu TOP BASIC nie da się zastosować z ślimakiem roletowym. Zalecamy wybrać wersję TOP.</v>
      </c>
      <c r="N91">
        <f t="shared" si="5"/>
        <v>1</v>
      </c>
    </row>
    <row r="92" spans="1:14" x14ac:dyDescent="0.2">
      <c r="A92" s="255" t="str">
        <f>výpočty!$R$14</f>
        <v>Pionowy (z góry na dół)</v>
      </c>
      <c r="B92" s="256" t="str">
        <f>výpočty!$R$10</f>
        <v>Do ślimaka roletowego</v>
      </c>
      <c r="C92" t="str">
        <f>výpočty!$R$3</f>
        <v>TOP Basic - wpuszczany do przykręcenia plastikowy</v>
      </c>
      <c r="D92" s="36" t="str">
        <f>výpočty!$W$14</f>
        <v>śnieżno biala mat (E9)</v>
      </c>
      <c r="E92" t="s">
        <v>2131</v>
      </c>
      <c r="F92">
        <v>1</v>
      </c>
      <c r="G92" s="321" t="str">
        <f>Překlady!$A$142</f>
        <v>Kolor śnieżno biały w profilu E9 można łączyć jedynie z prowadzeniem Classic i systemem nawijania do tyłu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Kolor śnieżno biały w profilu E9 można łączyć jedynie z prowadzeniem Classic i systemem nawijania do tyłu</v>
      </c>
      <c r="N92">
        <f t="shared" si="5"/>
        <v>1</v>
      </c>
    </row>
    <row r="93" spans="1:14" x14ac:dyDescent="0.2">
      <c r="A93" s="255" t="str">
        <f>výpočty!$R$14</f>
        <v>Pionowy (z góry na dół)</v>
      </c>
      <c r="B93" s="256" t="str">
        <f>výpočty!$R$10</f>
        <v>Do ślimaka roletowego</v>
      </c>
      <c r="C93" t="str">
        <f>výpočty!$R$3</f>
        <v>TOP Basic - wpuszczany do przykręcenia plastikowy</v>
      </c>
      <c r="D93" s="36" t="str">
        <f>výpočty!$W$15</f>
        <v>Aluminowa plastik (E4)</v>
      </c>
      <c r="E93" t="s">
        <v>2131</v>
      </c>
      <c r="F93">
        <v>1</v>
      </c>
      <c r="G93" s="321" t="str">
        <f>Překlady!$A$143</f>
        <v>Kolor aluminium plastik w profilu E4 jest idealny do poziomych rozwiązań w kombinacji z prowadzeniem Classic z systemem nawijania do tyłu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Kolor aluminium plastik w profilu E4 jest idealny do poziomych rozwiązań w kombinacji z prowadzeniem Classic z systemem nawijania do tyłu</v>
      </c>
      <c r="N93">
        <f t="shared" si="5"/>
        <v>1</v>
      </c>
    </row>
    <row r="94" spans="1:14" x14ac:dyDescent="0.2">
      <c r="A94" s="255" t="str">
        <f>výpočty!$R$14</f>
        <v>Pionowy (z góry na dół)</v>
      </c>
      <c r="B94" s="256" t="str">
        <f>výpočty!$R$10</f>
        <v>Do ślimaka roletowego</v>
      </c>
      <c r="C94" t="str">
        <f>výpočty!$R$3</f>
        <v>TOP Basic - wpuszczany do przykręcenia plastikowy</v>
      </c>
      <c r="D94" s="36">
        <f>výpočty!$W$17</f>
        <v>0</v>
      </c>
      <c r="E94" t="s">
        <v>2131</v>
      </c>
      <c r="F94">
        <v>1</v>
      </c>
      <c r="G94" t="str">
        <f>Překlady!$A$147</f>
        <v>Systemu TOP BASIC nie da się zastosować z ślimakiem roletowym. Zalecamy wybrać wersję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Systemu TOP BASIC nie da się zastosować z ślimakiem roletowym. Zalecamy wybrać wersję TOP.</v>
      </c>
      <c r="N94">
        <f t="shared" si="5"/>
        <v>1</v>
      </c>
    </row>
    <row r="95" spans="1:14" x14ac:dyDescent="0.2">
      <c r="A95" s="255" t="str">
        <f>výpočty!$R$14</f>
        <v>Pionowy (z góry na dół)</v>
      </c>
      <c r="B95" s="256" t="str">
        <f>výpočty!$R$10</f>
        <v>Do ślimaka roletowego</v>
      </c>
      <c r="C95" t="str">
        <f>výpočty!$R$3</f>
        <v>TOP Basic - wpuszczany do przykręcenia plastikowy</v>
      </c>
      <c r="D95" s="36">
        <f>výpočty!$W$18</f>
        <v>0</v>
      </c>
      <c r="E95" t="s">
        <v>2131</v>
      </c>
      <c r="F95">
        <v>1</v>
      </c>
      <c r="G95" t="str">
        <f>Překlady!$A$147</f>
        <v>Systemu TOP BASIC nie da się zastosować z ślimakiem roletowym. Zalecamy wybrać wersję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Systemu TOP BASIC nie da się zastosować z ślimakiem roletowym. Zalecamy wybrać wersję TOP.</v>
      </c>
      <c r="N95">
        <f t="shared" si="5"/>
        <v>1</v>
      </c>
    </row>
    <row r="96" spans="1:14" x14ac:dyDescent="0.2">
      <c r="A96" s="255" t="str">
        <f>výpočty!$R$14</f>
        <v>Pionowy (z góry na dół)</v>
      </c>
      <c r="B96" s="256" t="str">
        <f>výpočty!$R$10</f>
        <v>Do ślimaka roletowego</v>
      </c>
      <c r="C96" t="str">
        <f>výpočty!$R$3</f>
        <v>TOP Basic - wpuszczany do przykręcenia plastikowy</v>
      </c>
      <c r="D96" s="36" t="str">
        <f>výpočty!$W$19</f>
        <v>Aluminium szerokość 25 mm (metallic-line)</v>
      </c>
      <c r="E96" t="s">
        <v>2131</v>
      </c>
      <c r="F96">
        <v>1</v>
      </c>
      <c r="G96" t="str">
        <f>Překlady!$A$147</f>
        <v>Systemu TOP BASIC nie da się zastosować z ślimakiem roletowym. Zalecamy wybrać wersję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Systemu TOP BASIC nie da się zastosować z ślimakiem roletowym. Zalecamy wybrać wersję TOP.</v>
      </c>
      <c r="N96">
        <f t="shared" si="5"/>
        <v>1</v>
      </c>
    </row>
    <row r="97" spans="1:14" ht="13.5" thickBot="1" x14ac:dyDescent="0.25">
      <c r="A97" s="255" t="str">
        <f>výpočty!$R$14</f>
        <v>Pionowy (z góry na dół)</v>
      </c>
      <c r="B97" s="256" t="str">
        <f>výpočty!$R$10</f>
        <v>Do ślimaka roletowego</v>
      </c>
      <c r="C97" t="str">
        <f>výpočty!$R$3</f>
        <v>TOP Basic - wpuszczany do przykręcenia plastikowy</v>
      </c>
      <c r="D97" s="27" t="str">
        <f>výpočty!$W$20</f>
        <v>Nierdz. szerokość 25 mm (metallic-line)</v>
      </c>
      <c r="E97" t="s">
        <v>2131</v>
      </c>
      <c r="F97">
        <v>1</v>
      </c>
      <c r="G97" t="str">
        <f>Překlady!$A$147</f>
        <v>Systemu TOP BASIC nie da się zastosować z ślimakiem roletowym. Zalecamy wybrać wersję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Systemu TOP BASIC nie da się zastosować z ślimakiem roletowym. Zalecamy wybrać wersję TOP.</v>
      </c>
      <c r="N97">
        <f t="shared" si="5"/>
        <v>1</v>
      </c>
    </row>
    <row r="98" spans="1:14" x14ac:dyDescent="0.2">
      <c r="A98" s="255" t="str">
        <f>výpočty!$R$14</f>
        <v>Pionowy (z góry na dół)</v>
      </c>
      <c r="B98" s="256" t="str">
        <f>výpočty!$R$10</f>
        <v>Do ślimaka roletowego</v>
      </c>
      <c r="C98" t="str">
        <f>výpočty!$R$4</f>
        <v>Classic - wpuszczany do zafrezowania</v>
      </c>
      <c r="D98" s="26" t="str">
        <f>výpočty!$W$3</f>
        <v>Czarny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Pionowy (z góry na dół)</v>
      </c>
      <c r="B99" s="256" t="str">
        <f>výpočty!$R$10</f>
        <v>Do ślimaka roletowego</v>
      </c>
      <c r="C99" t="str">
        <f>výpočty!$R$4</f>
        <v>Classic - wpuszczany do zafrezowania</v>
      </c>
      <c r="D99" s="36" t="str">
        <f>výpočty!$W$4</f>
        <v>Biały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Pionowy (z góry na dół)</v>
      </c>
      <c r="B100" s="256" t="str">
        <f>výpočty!$R$10</f>
        <v>Do ślimaka roletowego</v>
      </c>
      <c r="C100" t="str">
        <f>výpočty!$R$4</f>
        <v>Classic - wpuszczany do zafrezowania</v>
      </c>
      <c r="D100" s="36" t="str">
        <f>výpočty!$W$5</f>
        <v>Szary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Pionowy (z góry na dół)</v>
      </c>
      <c r="B101" s="256" t="str">
        <f>výpočty!$R$10</f>
        <v>Do ślimaka roletowego</v>
      </c>
      <c r="C101" t="str">
        <f>výpočty!$R$4</f>
        <v>Classic - wpuszczany do zafrezowania</v>
      </c>
      <c r="D101" s="36" t="str">
        <f>výpočty!$W$6</f>
        <v>Aluminowa plastik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Pionowy (z góry na dół)</v>
      </c>
      <c r="B102" s="256" t="str">
        <f>výpočty!$R$10</f>
        <v>Do ślimaka roletowego</v>
      </c>
      <c r="C102" t="str">
        <f>výpočty!$R$4</f>
        <v>Classic - wpuszczany do zafrezowania</v>
      </c>
      <c r="D102" s="36" t="str">
        <f>výpočty!$W$7</f>
        <v>Buk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Pionowy (z góry na dół)</v>
      </c>
      <c r="B103" s="256" t="str">
        <f>výpočty!$R$10</f>
        <v>Do ślimaka roletowego</v>
      </c>
      <c r="C103" t="str">
        <f>výpočty!$R$4</f>
        <v>Classic - wpuszczany do zafrezowania</v>
      </c>
      <c r="D103" s="36" t="str">
        <f>výpočty!$W$8</f>
        <v>Czereśnia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Pionowy (z góry na dół)</v>
      </c>
      <c r="B104" s="256" t="str">
        <f>výpočty!$R$10</f>
        <v>Do ślimaka roletowego</v>
      </c>
      <c r="C104" t="str">
        <f>výpočty!$R$4</f>
        <v>Classic - wpuszczany do zafrezowania</v>
      </c>
      <c r="D104" s="36" t="str">
        <f>výpočty!$W$9</f>
        <v>Klon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Pionowy (z góry na dół)</v>
      </c>
      <c r="B105" s="256" t="str">
        <f>výpočty!$R$10</f>
        <v>Do ślimaka roletowego</v>
      </c>
      <c r="C105" t="str">
        <f>výpočty!$R$4</f>
        <v>Classic - wpuszczany do zafrezowania</v>
      </c>
      <c r="D105" s="36" t="str">
        <f>výpočty!$W$10</f>
        <v>Brzoza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Pionowy (z góry na dół)</v>
      </c>
      <c r="B106" s="256" t="str">
        <f>výpočty!$R$10</f>
        <v>Do ślimaka roletowego</v>
      </c>
      <c r="C106" t="str">
        <f>výpočty!$R$4</f>
        <v>Classic - wpuszczany do zafrezowania</v>
      </c>
      <c r="D106" s="36" t="str">
        <f>výpočty!$W$11</f>
        <v>Czereśnia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Pionowy (z góry na dół)</v>
      </c>
      <c r="B107" s="256" t="str">
        <f>výpočty!$R$10</f>
        <v>Do ślimaka roletowego</v>
      </c>
      <c r="C107" t="str">
        <f>výpočty!$R$4</f>
        <v>Classic - wpuszczany do zafrezowania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Pionowy (z góry na dół)</v>
      </c>
      <c r="B108" s="256" t="str">
        <f>výpočty!$R$10</f>
        <v>Do ślimaka roletowego</v>
      </c>
      <c r="C108" t="str">
        <f>výpočty!$R$4</f>
        <v>Classic - wpuszczany do zafrezowania</v>
      </c>
      <c r="D108" s="350" t="str">
        <f>výpočty!$W$14</f>
        <v>śnieżno biala mat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Pionowy (z góry na dół)</v>
      </c>
      <c r="B109" s="256" t="str">
        <f>výpočty!$R$10</f>
        <v>Do ślimaka roletowego</v>
      </c>
      <c r="C109" t="str">
        <f>výpočty!$R$4</f>
        <v>Classic - wpuszczany do zafrezowania</v>
      </c>
      <c r="D109" s="36" t="str">
        <f>výpočty!$W$15</f>
        <v>Aluminowa plastik (E4)</v>
      </c>
      <c r="E109" s="321" t="s">
        <v>2131</v>
      </c>
      <c r="F109" s="321">
        <v>1</v>
      </c>
      <c r="G109" s="321" t="str">
        <f>Překlady!$A$143</f>
        <v>Kolor aluminium plastik w profilu E4 jest idealny do poziomych rozwiązań w kombinacji z prowadzeniem Classic z systemem nawijania do tyłu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Kolor aluminium plastik w profilu E4 jest idealny do poziomych rozwiązań w kombinacji z prowadzeniem Classic z systemem nawijania do tyłu</v>
      </c>
      <c r="N109">
        <f t="shared" si="5"/>
        <v>1</v>
      </c>
    </row>
    <row r="110" spans="1:14" x14ac:dyDescent="0.2">
      <c r="A110" s="255" t="str">
        <f>výpočty!$R$14</f>
        <v>Pionowy (z góry na dół)</v>
      </c>
      <c r="B110" s="256" t="str">
        <f>výpočty!$R$10</f>
        <v>Do ślimaka roletowego</v>
      </c>
      <c r="C110" t="str">
        <f>výpočty!$R$4</f>
        <v>Classic - wpuszczany do zafrezowania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Pionowy (z góry na dół)</v>
      </c>
      <c r="B111" s="256" t="str">
        <f>výpočty!$R$10</f>
        <v>Do ślimaka roletowego</v>
      </c>
      <c r="C111" t="str">
        <f>výpočty!$R$4</f>
        <v>Classic - wpuszczany do zafrezowania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Pionowy (z góry na dół)</v>
      </c>
      <c r="B112" s="256" t="str">
        <f>výpočty!$R$10</f>
        <v>Do ślimaka roletowego</v>
      </c>
      <c r="C112" t="str">
        <f>výpočty!$R$4</f>
        <v>Classic - wpuszczany do zafrezowania</v>
      </c>
      <c r="D112" s="36" t="str">
        <f>výpočty!$W$19</f>
        <v>Aluminium szerokość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Pionowy (z góry na dół)</v>
      </c>
      <c r="B113" s="256" t="str">
        <f>výpočty!$R$10</f>
        <v>Do ślimaka roletowego</v>
      </c>
      <c r="C113" t="str">
        <f>výpočty!$R$4</f>
        <v>Classic - wpuszczany do zafrezowania</v>
      </c>
      <c r="D113" s="27" t="str">
        <f>výpočty!$W$20</f>
        <v>Nierdz. szerokość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Pionowy (z góry na dół)</v>
      </c>
      <c r="B114" s="256" t="str">
        <f>výpočty!$R$10</f>
        <v>Do ślimaka roletowego</v>
      </c>
      <c r="C114" t="str">
        <f>výpočty!$R$5</f>
        <v>Frame - nakładany z listwą maskującą</v>
      </c>
      <c r="D114" s="26" t="str">
        <f>výpočty!$W$3</f>
        <v>Czarny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Pionowy (z góry na dół)</v>
      </c>
      <c r="B115" s="256" t="str">
        <f>výpočty!$R$10</f>
        <v>Do ślimaka roletowego</v>
      </c>
      <c r="C115" t="str">
        <f>výpočty!$R$5</f>
        <v>Frame - nakładany z listwą maskującą</v>
      </c>
      <c r="D115" s="36" t="str">
        <f>výpočty!$W$4</f>
        <v>Biały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Pionowy (z góry na dół)</v>
      </c>
      <c r="B116" s="256" t="str">
        <f>výpočty!$R$10</f>
        <v>Do ślimaka roletowego</v>
      </c>
      <c r="C116" t="str">
        <f>výpočty!$R$5</f>
        <v>Frame - nakładany z listwą maskującą</v>
      </c>
      <c r="D116" s="36" t="str">
        <f>výpočty!$W$5</f>
        <v>Szary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Pionowy (z góry na dół)</v>
      </c>
      <c r="B117" s="256" t="str">
        <f>výpočty!$R$10</f>
        <v>Do ślimaka roletowego</v>
      </c>
      <c r="C117" t="str">
        <f>výpočty!$R$5</f>
        <v>Frame - nakładany z listwą maskującą</v>
      </c>
      <c r="D117" s="36" t="str">
        <f>výpočty!$W$6</f>
        <v>Aluminowa plastik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Pionowy (z góry na dół)</v>
      </c>
      <c r="B118" s="256" t="str">
        <f>výpočty!$R$10</f>
        <v>Do ślimaka roletowego</v>
      </c>
      <c r="C118" t="str">
        <f>výpočty!$R$5</f>
        <v>Frame - nakładany z listwą maskującą</v>
      </c>
      <c r="D118" s="36" t="str">
        <f>výpočty!$W$7</f>
        <v>Buk (E23)</v>
      </c>
      <c r="E118" t="s">
        <v>2131</v>
      </c>
      <c r="F118">
        <v>1</v>
      </c>
      <c r="G118" s="321" t="str">
        <f>Překlady!$A$145</f>
        <v>Koloru BUK w profilu E23 nie da się łączyć z prowadzeniem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Koloru BUK w profilu E23 nie da się łączyć z prowadzeniem FRAME.</v>
      </c>
      <c r="N118">
        <f t="shared" si="5"/>
        <v>1</v>
      </c>
    </row>
    <row r="119" spans="1:14" x14ac:dyDescent="0.2">
      <c r="A119" s="255" t="str">
        <f>výpočty!$R$14</f>
        <v>Pionowy (z góry na dół)</v>
      </c>
      <c r="B119" s="256" t="str">
        <f>výpočty!$R$10</f>
        <v>Do ślimaka roletowego</v>
      </c>
      <c r="C119" t="str">
        <f>výpočty!$R$5</f>
        <v>Frame - nakładany z listwą maskującą</v>
      </c>
      <c r="D119" s="36" t="str">
        <f>výpočty!$W$8</f>
        <v>Czereśnia (E23)</v>
      </c>
      <c r="E119" t="s">
        <v>2130</v>
      </c>
      <c r="F119">
        <v>1</v>
      </c>
      <c r="G119" t="str">
        <f>Překlady!$A$176</f>
        <v>Koloru Czereśnia w profilu E23 nie da się łączyć z prowadzeniem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Koloru Czereśnia w profilu E23 nie da się łączyć z prowadzeniem FRAME.</v>
      </c>
      <c r="N119">
        <f t="shared" si="5"/>
        <v>1</v>
      </c>
    </row>
    <row r="120" spans="1:14" x14ac:dyDescent="0.2">
      <c r="A120" s="255" t="str">
        <f>výpočty!$R$14</f>
        <v>Pionowy (z góry na dół)</v>
      </c>
      <c r="B120" s="256" t="str">
        <f>výpočty!$R$10</f>
        <v>Do ślimaka roletowego</v>
      </c>
      <c r="C120" t="str">
        <f>výpočty!$R$5</f>
        <v>Frame - nakładany z listwą maskującą</v>
      </c>
      <c r="D120" s="36" t="str">
        <f>výpočty!$W$9</f>
        <v>Klon (E23)</v>
      </c>
      <c r="E120" t="s">
        <v>2130</v>
      </c>
      <c r="F120">
        <v>1</v>
      </c>
      <c r="G120" t="str">
        <f>Překlady!$A$177</f>
        <v>Koloru Klon w profilu E23 nie da się łączyć z prowadzeniem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Koloru Klon w profilu E23 nie da się łączyć z prowadzeniem FRAME.</v>
      </c>
      <c r="N120">
        <f t="shared" si="5"/>
        <v>1</v>
      </c>
    </row>
    <row r="121" spans="1:14" x14ac:dyDescent="0.2">
      <c r="A121" s="255" t="str">
        <f>výpočty!$R$14</f>
        <v>Pionowy (z góry na dół)</v>
      </c>
      <c r="B121" s="256" t="str">
        <f>výpočty!$R$10</f>
        <v>Do ślimaka roletowego</v>
      </c>
      <c r="C121" t="str">
        <f>výpočty!$R$5</f>
        <v>Frame - nakładany z listwą maskującą</v>
      </c>
      <c r="D121" s="36" t="str">
        <f>výpočty!$W$10</f>
        <v>Brzoza (E23)</v>
      </c>
      <c r="E121" t="s">
        <v>2130</v>
      </c>
      <c r="F121">
        <v>1</v>
      </c>
      <c r="G121" t="str">
        <f>Překlady!$A$175</f>
        <v>Koloru Brzoza w profilu E23 nie da się łączyć z prowadzeniem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Koloru Brzoza w profilu E23 nie da się łączyć z prowadzeniem FRAME.</v>
      </c>
      <c r="N121">
        <f t="shared" si="5"/>
        <v>1</v>
      </c>
    </row>
    <row r="122" spans="1:14" x14ac:dyDescent="0.2">
      <c r="A122" s="255" t="str">
        <f>výpočty!$R$14</f>
        <v>Pionowy (z góry na dół)</v>
      </c>
      <c r="B122" s="256" t="str">
        <f>výpočty!$R$10</f>
        <v>Do ślimaka roletowego</v>
      </c>
      <c r="C122" t="str">
        <f>výpočty!$R$5</f>
        <v>Frame - nakładany z listwą maskującą</v>
      </c>
      <c r="D122" s="36" t="str">
        <f>výpočty!$W$11</f>
        <v>Czereśnia havana (E23)</v>
      </c>
      <c r="E122" t="s">
        <v>2130</v>
      </c>
      <c r="F122">
        <v>1</v>
      </c>
      <c r="G122" t="str">
        <f>Překlady!$A$170</f>
        <v>Koloru Czereśnia havana w profilu E23 nie da się łączyć z prowadzeniem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Koloru Czereśnia havana w profilu E23 nie da się łączyć z prowadzeniem FRAME.</v>
      </c>
      <c r="N122">
        <f t="shared" si="5"/>
        <v>1</v>
      </c>
    </row>
    <row r="123" spans="1:14" x14ac:dyDescent="0.2">
      <c r="A123" s="255" t="str">
        <f>výpočty!$R$14</f>
        <v>Pionowy (z góry na dół)</v>
      </c>
      <c r="B123" s="256" t="str">
        <f>výpočty!$R$10</f>
        <v>Do ślimaka roletowego</v>
      </c>
      <c r="C123" t="str">
        <f>výpočty!$R$5</f>
        <v>Frame - nakładany z listwą maskującą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Pionowy (z góry na dół)</v>
      </c>
      <c r="B124" s="256" t="str">
        <f>výpočty!$R$10</f>
        <v>Do ślimaka roletowego</v>
      </c>
      <c r="C124" t="str">
        <f>výpočty!$R$5</f>
        <v>Frame - nakładany z listwą maskującą</v>
      </c>
      <c r="D124" s="36" t="str">
        <f>výpočty!$W$14</f>
        <v>śnieżno biala mat (E9)</v>
      </c>
      <c r="E124" s="321" t="s">
        <v>2131</v>
      </c>
      <c r="F124" s="321">
        <v>1</v>
      </c>
      <c r="G124" s="321" t="str">
        <f>Překlady!$A$142</f>
        <v>Kolor śnieżno biały w profilu E9 można łączyć jedynie z prowadzeniem Classic i systemem nawijania do tyłu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Kolor śnieżno biały w profilu E9 można łączyć jedynie z prowadzeniem Classic i systemem nawijania do tyłu</v>
      </c>
      <c r="N124">
        <f t="shared" si="5"/>
        <v>1</v>
      </c>
    </row>
    <row r="125" spans="1:14" x14ac:dyDescent="0.2">
      <c r="A125" s="255" t="str">
        <f>výpočty!$R$14</f>
        <v>Pionowy (z góry na dół)</v>
      </c>
      <c r="B125" s="256" t="str">
        <f>výpočty!$R$10</f>
        <v>Do ślimaka roletowego</v>
      </c>
      <c r="C125" t="str">
        <f>výpočty!$R$5</f>
        <v>Frame - nakładany z listwą maskującą</v>
      </c>
      <c r="D125" s="36" t="str">
        <f>výpočty!$W$15</f>
        <v>Aluminowa plastik (E4)</v>
      </c>
      <c r="E125" t="s">
        <v>2131</v>
      </c>
      <c r="F125">
        <v>1</v>
      </c>
      <c r="G125" s="321" t="str">
        <f>Překlady!$A$143</f>
        <v>Kolor aluminium plastik w profilu E4 jest idealny do poziomych rozwiązań w kombinacji z prowadzeniem Classic z systemem nawijania do tyłu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Kolor aluminium plastik w profilu E4 jest idealny do poziomych rozwiązań w kombinacji z prowadzeniem Classic z systemem nawijania do tyłu</v>
      </c>
      <c r="N125">
        <f t="shared" si="5"/>
        <v>1</v>
      </c>
    </row>
    <row r="126" spans="1:14" x14ac:dyDescent="0.2">
      <c r="A126" s="255" t="str">
        <f>výpočty!$R$14</f>
        <v>Pionowy (z góry na dół)</v>
      </c>
      <c r="B126" s="256" t="str">
        <f>výpočty!$R$10</f>
        <v>Do ślimaka roletowego</v>
      </c>
      <c r="C126" t="str">
        <f>výpočty!$R$5</f>
        <v>Frame - nakładany z listwą maskującą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Pionowy (z góry na dół)</v>
      </c>
      <c r="B127" s="256" t="str">
        <f>výpočty!$R$10</f>
        <v>Do ślimaka roletowego</v>
      </c>
      <c r="C127" t="str">
        <f>výpočty!$R$5</f>
        <v>Frame - nakładany z listwą maskującą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Pionowy (z góry na dół)</v>
      </c>
      <c r="B128" s="256" t="str">
        <f>výpočty!$R$10</f>
        <v>Do ślimaka roletowego</v>
      </c>
      <c r="C128" t="str">
        <f>výpočty!$R$5</f>
        <v>Frame - nakładany z listwą maskującą</v>
      </c>
      <c r="D128" s="36" t="str">
        <f>výpočty!$W$19</f>
        <v>Aluminium szerokość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Pionowy (z góry na dół)</v>
      </c>
      <c r="B129" s="256" t="str">
        <f>výpočty!$R$10</f>
        <v>Do ślimaka roletowego</v>
      </c>
      <c r="C129" t="str">
        <f>výpočty!$R$5</f>
        <v>Frame - nakładany z listwą maskującą</v>
      </c>
      <c r="D129" s="27" t="str">
        <f>výpočty!$W$20</f>
        <v>Nierdz. szerokość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Pionowy (z góry na dół)</v>
      </c>
      <c r="B130" s="256" t="str">
        <f>výpočty!$R$10</f>
        <v>Do ślimaka roletowego</v>
      </c>
      <c r="C130" t="str">
        <f>výpočty!$R$6</f>
        <v>TOP - wpuszczany do przykręcenia metalowy z listwą maskującą</v>
      </c>
      <c r="D130" s="26" t="str">
        <f>výpočty!$W$3</f>
        <v>Czarny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Pionowy (z góry na dół)</v>
      </c>
      <c r="B131" s="256" t="str">
        <f>výpočty!$R$10</f>
        <v>Do ślimaka roletowego</v>
      </c>
      <c r="C131" t="str">
        <f>výpočty!$R$6</f>
        <v>TOP - wpuszczany do przykręcenia metalowy z listwą maskującą</v>
      </c>
      <c r="D131" s="36" t="str">
        <f>výpočty!$W$4</f>
        <v>Biały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Pionowy (z góry na dół)</v>
      </c>
      <c r="B132" s="256" t="str">
        <f>výpočty!$R$10</f>
        <v>Do ślimaka roletowego</v>
      </c>
      <c r="C132" t="str">
        <f>výpočty!$R$6</f>
        <v>TOP - wpuszczany do przykręcenia metalowy z listwą maskującą</v>
      </c>
      <c r="D132" s="36" t="str">
        <f>výpočty!$W$5</f>
        <v>Szary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Pionowy (z góry na dół)</v>
      </c>
      <c r="B133" s="256" t="str">
        <f>výpočty!$R$10</f>
        <v>Do ślimaka roletowego</v>
      </c>
      <c r="C133" t="str">
        <f>výpočty!$R$6</f>
        <v>TOP - wpuszczany do przykręcenia metalowy z listwą maskującą</v>
      </c>
      <c r="D133" s="36" t="str">
        <f>výpočty!$W$6</f>
        <v>Aluminowa plastik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Pionowy (z góry na dół)</v>
      </c>
      <c r="B134" s="256" t="str">
        <f>výpočty!$R$10</f>
        <v>Do ślimaka roletowego</v>
      </c>
      <c r="C134" t="str">
        <f>výpočty!$R$6</f>
        <v>TOP - wpuszczany do przykręcenia metalowy z listwą maskującą</v>
      </c>
      <c r="D134" s="36" t="str">
        <f>výpočty!$W$7</f>
        <v>Buk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Pionowy (z góry na dół)</v>
      </c>
      <c r="B135" s="256" t="str">
        <f>výpočty!$R$10</f>
        <v>Do ślimaka roletowego</v>
      </c>
      <c r="C135" t="str">
        <f>výpočty!$R$6</f>
        <v>TOP - wpuszczany do przykręcenia metalowy z listwą maskującą</v>
      </c>
      <c r="D135" s="36" t="str">
        <f>výpočty!$W$8</f>
        <v>Czereśnia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Pionowy (z góry na dół)</v>
      </c>
      <c r="B136" s="256" t="str">
        <f>výpočty!$R$10</f>
        <v>Do ślimaka roletowego</v>
      </c>
      <c r="C136" t="str">
        <f>výpočty!$R$6</f>
        <v>TOP - wpuszczany do przykręcenia metalowy z listwą maskującą</v>
      </c>
      <c r="D136" s="36" t="str">
        <f>výpočty!$W$9</f>
        <v>Klon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Pionowy (z góry na dół)</v>
      </c>
      <c r="B137" s="256" t="str">
        <f>výpočty!$R$10</f>
        <v>Do ślimaka roletowego</v>
      </c>
      <c r="C137" t="str">
        <f>výpočty!$R$6</f>
        <v>TOP - wpuszczany do przykręcenia metalowy z listwą maskującą</v>
      </c>
      <c r="D137" s="36" t="str">
        <f>výpočty!$W$10</f>
        <v>Brzoza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Pionowy (z góry na dół)</v>
      </c>
      <c r="B138" s="256" t="str">
        <f>výpočty!$R$10</f>
        <v>Do ślimaka roletowego</v>
      </c>
      <c r="C138" t="str">
        <f>výpočty!$R$6</f>
        <v>TOP - wpuszczany do przykręcenia metalowy z listwą maskującą</v>
      </c>
      <c r="D138" s="36" t="str">
        <f>výpočty!$W$11</f>
        <v>Czereśnia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Pionowy (z góry na dół)</v>
      </c>
      <c r="B139" s="256" t="str">
        <f>výpočty!$R$10</f>
        <v>Do ślimaka roletowego</v>
      </c>
      <c r="C139" t="str">
        <f>výpočty!$R$6</f>
        <v>TOP - wpuszczany do przykręcenia metalowy z listwą maskującą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Pionowy (z góry na dół)</v>
      </c>
      <c r="B140" s="256" t="str">
        <f>výpočty!$R$10</f>
        <v>Do ślimaka roletowego</v>
      </c>
      <c r="C140" t="str">
        <f>výpočty!$R$6</f>
        <v>TOP - wpuszczany do przykręcenia metalowy z listwą maskującą</v>
      </c>
      <c r="D140" s="36" t="str">
        <f>výpočty!$W$14</f>
        <v>śnieżno biala mat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Pionowy (z góry na dół)</v>
      </c>
      <c r="B141" s="256" t="str">
        <f>výpočty!$R$10</f>
        <v>Do ślimaka roletowego</v>
      </c>
      <c r="C141" t="str">
        <f>výpočty!$R$6</f>
        <v>TOP - wpuszczany do przykręcenia metalowy z listwą maskującą</v>
      </c>
      <c r="D141" s="36" t="str">
        <f>výpočty!$W$15</f>
        <v>Aluminowa plastik (E4)</v>
      </c>
      <c r="E141" t="s">
        <v>2131</v>
      </c>
      <c r="F141">
        <v>1</v>
      </c>
      <c r="G141" s="321" t="str">
        <f>Překlady!$A$143</f>
        <v>Kolor aluminium plastik w profilu E4 jest idealny do poziomych rozwiązań w kombinacji z prowadzeniem Classic z systemem nawijania do tyłu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Kolor aluminium plastik w profilu E4 jest idealny do poziomych rozwiązań w kombinacji z prowadzeniem Classic z systemem nawijania do tyłu</v>
      </c>
      <c r="N141">
        <f t="shared" si="8"/>
        <v>1</v>
      </c>
    </row>
    <row r="142" spans="1:14" x14ac:dyDescent="0.2">
      <c r="A142" s="255" t="str">
        <f>výpočty!$R$14</f>
        <v>Pionowy (z góry na dół)</v>
      </c>
      <c r="B142" s="256" t="str">
        <f>výpočty!$R$10</f>
        <v>Do ślimaka roletowego</v>
      </c>
      <c r="C142" t="str">
        <f>výpočty!$R$6</f>
        <v>TOP - wpuszczany do przykręcenia metalowy z listwą maskującą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Pionowy (z góry na dół)</v>
      </c>
      <c r="B143" s="256" t="str">
        <f>výpočty!$R$10</f>
        <v>Do ślimaka roletowego</v>
      </c>
      <c r="C143" t="str">
        <f>výpočty!$R$6</f>
        <v>TOP - wpuszczany do przykręcenia metalowy z listwą maskującą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Pionowy (z góry na dół)</v>
      </c>
      <c r="B144" s="256" t="str">
        <f>výpočty!$R$10</f>
        <v>Do ślimaka roletowego</v>
      </c>
      <c r="C144" t="str">
        <f>výpočty!$R$6</f>
        <v>TOP - wpuszczany do przykręcenia metalowy z listwą maskującą</v>
      </c>
      <c r="D144" s="36" t="str">
        <f>výpočty!$W$19</f>
        <v>Aluminium szerokość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Pionowy (z góry na dół)</v>
      </c>
      <c r="B145" s="256" t="str">
        <f>výpočty!$R$10</f>
        <v>Do ślimaka roletowego</v>
      </c>
      <c r="C145" t="str">
        <f>výpočty!$R$6</f>
        <v>TOP - wpuszczany do przykręcenia metalowy z listwą maskującą</v>
      </c>
      <c r="D145" s="27" t="str">
        <f>výpočty!$W$20</f>
        <v>Nierdz. szerokość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Pionowy (z góry na dół)</v>
      </c>
      <c r="B146" s="256" t="str">
        <f>výpočty!$R$10</f>
        <v>Do ślimaka roletowego</v>
      </c>
      <c r="C146" t="str">
        <f>výpočty!$R$7</f>
        <v>Nakładany z prowadzeniem metalic-line 29 mm i mechanimem C3</v>
      </c>
      <c r="D146" s="26" t="str">
        <f>výpočty!$W$3</f>
        <v>Czarny (E23)</v>
      </c>
      <c r="E146" t="s">
        <v>2131</v>
      </c>
      <c r="F146">
        <v>1</v>
      </c>
      <c r="G146" s="321" t="str">
        <f>Překlady!$A$146</f>
        <v>Nakładany system prowadzenia z metalic-line 29 mm i mechanizmem C3 można łączyć jedynie z systemem nawijania przez mechanike C3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Nakładany system prowadzenia z metalic-line 29 mm i mechanizmem C3 można łączyć jedynie z systemem nawijania przez mechanike C3</v>
      </c>
      <c r="N146">
        <f t="shared" si="8"/>
        <v>1</v>
      </c>
    </row>
    <row r="147" spans="1:14" x14ac:dyDescent="0.2">
      <c r="A147" s="255" t="str">
        <f>výpočty!$R$14</f>
        <v>Pionowy (z góry na dół)</v>
      </c>
      <c r="B147" s="256" t="str">
        <f>výpočty!$R$10</f>
        <v>Do ślimaka roletowego</v>
      </c>
      <c r="C147" t="str">
        <f>výpočty!$R$7</f>
        <v>Nakładany z prowadzeniem metalic-line 29 mm i mechanimem C3</v>
      </c>
      <c r="D147" s="36" t="str">
        <f>výpočty!$W$4</f>
        <v>Biały (E23)</v>
      </c>
      <c r="E147" t="s">
        <v>2131</v>
      </c>
      <c r="F147">
        <v>1</v>
      </c>
      <c r="G147" s="321" t="str">
        <f>Překlady!$A$146</f>
        <v>Nakładany system prowadzenia z metalic-line 29 mm i mechanizmem C3 można łączyć jedynie z systemem nawijania przez mechanike C3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Nakładany system prowadzenia z metalic-line 29 mm i mechanizmem C3 można łączyć jedynie z systemem nawijania przez mechanike C3</v>
      </c>
      <c r="N147">
        <f t="shared" si="8"/>
        <v>1</v>
      </c>
    </row>
    <row r="148" spans="1:14" x14ac:dyDescent="0.2">
      <c r="A148" s="255" t="str">
        <f>výpočty!$R$14</f>
        <v>Pionowy (z góry na dół)</v>
      </c>
      <c r="B148" s="256" t="str">
        <f>výpočty!$R$10</f>
        <v>Do ślimaka roletowego</v>
      </c>
      <c r="C148" t="str">
        <f>výpočty!$R$7</f>
        <v>Nakładany z prowadzeniem metalic-line 29 mm i mechanimem C3</v>
      </c>
      <c r="D148" s="36" t="str">
        <f>výpočty!$W$5</f>
        <v>Szary (E23)</v>
      </c>
      <c r="E148" t="s">
        <v>2131</v>
      </c>
      <c r="F148">
        <v>1</v>
      </c>
      <c r="G148" s="321" t="str">
        <f>Překlady!$A$146</f>
        <v>Nakładany system prowadzenia z metalic-line 29 mm i mechanizmem C3 można łączyć jedynie z systemem nawijania przez mechanike C3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Nakładany system prowadzenia z metalic-line 29 mm i mechanizmem C3 można łączyć jedynie z systemem nawijania przez mechanike C3</v>
      </c>
      <c r="N148">
        <f t="shared" si="8"/>
        <v>1</v>
      </c>
    </row>
    <row r="149" spans="1:14" x14ac:dyDescent="0.2">
      <c r="A149" s="255" t="str">
        <f>výpočty!$R$14</f>
        <v>Pionowy (z góry na dół)</v>
      </c>
      <c r="B149" s="256" t="str">
        <f>výpočty!$R$10</f>
        <v>Do ślimaka roletowego</v>
      </c>
      <c r="C149" t="str">
        <f>výpočty!$R$7</f>
        <v>Nakładany z prowadzeniem metalic-line 29 mm i mechanimem C3</v>
      </c>
      <c r="D149" s="36" t="str">
        <f>výpočty!$W$6</f>
        <v>Aluminowa plastik (E23)</v>
      </c>
      <c r="E149" t="s">
        <v>2131</v>
      </c>
      <c r="F149">
        <v>1</v>
      </c>
      <c r="G149" s="321" t="str">
        <f>Překlady!$A$146</f>
        <v>Nakładany system prowadzenia z metalic-line 29 mm i mechanizmem C3 można łączyć jedynie z systemem nawijania przez mechanike C3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Nakładany system prowadzenia z metalic-line 29 mm i mechanizmem C3 można łączyć jedynie z systemem nawijania przez mechanike C3</v>
      </c>
      <c r="N149">
        <f t="shared" si="8"/>
        <v>1</v>
      </c>
    </row>
    <row r="150" spans="1:14" x14ac:dyDescent="0.2">
      <c r="A150" s="255" t="str">
        <f>výpočty!$R$14</f>
        <v>Pionowy (z góry na dół)</v>
      </c>
      <c r="B150" s="256" t="str">
        <f>výpočty!$R$10</f>
        <v>Do ślimaka roletowego</v>
      </c>
      <c r="C150" t="str">
        <f>výpočty!$R$7</f>
        <v>Nakładany z prowadzeniem metalic-line 29 mm i mechanimem C3</v>
      </c>
      <c r="D150" s="36" t="str">
        <f>výpočty!$W$7</f>
        <v>Buk (E23)</v>
      </c>
      <c r="E150" t="s">
        <v>2131</v>
      </c>
      <c r="F150">
        <v>1</v>
      </c>
      <c r="G150" s="321" t="str">
        <f>Překlady!$A$146</f>
        <v>Nakładany system prowadzenia z metalic-line 29 mm i mechanizmem C3 można łączyć jedynie z systemem nawijania przez mechanike C3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Nakładany system prowadzenia z metalic-line 29 mm i mechanizmem C3 można łączyć jedynie z systemem nawijania przez mechanike C3</v>
      </c>
      <c r="N150">
        <f t="shared" si="8"/>
        <v>1</v>
      </c>
    </row>
    <row r="151" spans="1:14" x14ac:dyDescent="0.2">
      <c r="A151" s="255" t="str">
        <f>výpočty!$R$14</f>
        <v>Pionowy (z góry na dół)</v>
      </c>
      <c r="B151" s="256" t="str">
        <f>výpočty!$R$10</f>
        <v>Do ślimaka roletowego</v>
      </c>
      <c r="C151" t="str">
        <f>výpočty!$R$7</f>
        <v>Nakładany z prowadzeniem metalic-line 29 mm i mechanimem C3</v>
      </c>
      <c r="D151" s="36" t="str">
        <f>výpočty!$W$8</f>
        <v>Czereśnia (E23)</v>
      </c>
      <c r="E151" t="s">
        <v>2131</v>
      </c>
      <c r="F151">
        <v>1</v>
      </c>
      <c r="G151" s="321" t="str">
        <f>Překlady!$A$146</f>
        <v>Nakładany system prowadzenia z metalic-line 29 mm i mechanizmem C3 można łączyć jedynie z systemem nawijania przez mechanike C3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Nakładany system prowadzenia z metalic-line 29 mm i mechanizmem C3 można łączyć jedynie z systemem nawijania przez mechanike C3</v>
      </c>
      <c r="N151">
        <f t="shared" si="8"/>
        <v>1</v>
      </c>
    </row>
    <row r="152" spans="1:14" x14ac:dyDescent="0.2">
      <c r="A152" s="255" t="str">
        <f>výpočty!$R$14</f>
        <v>Pionowy (z góry na dół)</v>
      </c>
      <c r="B152" s="256" t="str">
        <f>výpočty!$R$10</f>
        <v>Do ślimaka roletowego</v>
      </c>
      <c r="C152" t="str">
        <f>výpočty!$R$7</f>
        <v>Nakładany z prowadzeniem metalic-line 29 mm i mechanimem C3</v>
      </c>
      <c r="D152" s="36" t="str">
        <f>výpočty!$W$9</f>
        <v>Klon (E23)</v>
      </c>
      <c r="E152" t="s">
        <v>2131</v>
      </c>
      <c r="F152">
        <v>1</v>
      </c>
      <c r="G152" s="321" t="str">
        <f>Překlady!$A$146</f>
        <v>Nakładany system prowadzenia z metalic-line 29 mm i mechanizmem C3 można łączyć jedynie z systemem nawijania przez mechanike C3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Nakładany system prowadzenia z metalic-line 29 mm i mechanizmem C3 można łączyć jedynie z systemem nawijania przez mechanike C3</v>
      </c>
      <c r="N152">
        <f t="shared" si="8"/>
        <v>1</v>
      </c>
    </row>
    <row r="153" spans="1:14" x14ac:dyDescent="0.2">
      <c r="A153" s="255" t="str">
        <f>výpočty!$R$14</f>
        <v>Pionowy (z góry na dół)</v>
      </c>
      <c r="B153" s="256" t="str">
        <f>výpočty!$R$10</f>
        <v>Do ślimaka roletowego</v>
      </c>
      <c r="C153" t="str">
        <f>výpočty!$R$7</f>
        <v>Nakładany z prowadzeniem metalic-line 29 mm i mechanimem C3</v>
      </c>
      <c r="D153" s="36" t="str">
        <f>výpočty!$W$10</f>
        <v>Brzoza (E23)</v>
      </c>
      <c r="E153" t="s">
        <v>2131</v>
      </c>
      <c r="F153">
        <v>1</v>
      </c>
      <c r="G153" s="321" t="str">
        <f>Překlady!$A$146</f>
        <v>Nakładany system prowadzenia z metalic-line 29 mm i mechanizmem C3 można łączyć jedynie z systemem nawijania przez mechanike C3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Nakładany system prowadzenia z metalic-line 29 mm i mechanizmem C3 można łączyć jedynie z systemem nawijania przez mechanike C3</v>
      </c>
      <c r="N153">
        <f t="shared" si="8"/>
        <v>1</v>
      </c>
    </row>
    <row r="154" spans="1:14" x14ac:dyDescent="0.2">
      <c r="A154" s="255" t="str">
        <f>výpočty!$R$14</f>
        <v>Pionowy (z góry na dół)</v>
      </c>
      <c r="B154" s="256" t="str">
        <f>výpočty!$R$10</f>
        <v>Do ślimaka roletowego</v>
      </c>
      <c r="C154" t="str">
        <f>výpočty!$R$7</f>
        <v>Nakładany z prowadzeniem metalic-line 29 mm i mechanimem C3</v>
      </c>
      <c r="D154" s="36" t="str">
        <f>výpočty!$W$11</f>
        <v>Czereśnia havana (E23)</v>
      </c>
      <c r="E154" t="s">
        <v>2131</v>
      </c>
      <c r="F154">
        <v>1</v>
      </c>
      <c r="G154" s="321" t="str">
        <f>Překlady!$A$146</f>
        <v>Nakładany system prowadzenia z metalic-line 29 mm i mechanizmem C3 można łączyć jedynie z systemem nawijania przez mechanike C3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Nakładany system prowadzenia z metalic-line 29 mm i mechanizmem C3 można łączyć jedynie z systemem nawijania przez mechanike C3</v>
      </c>
      <c r="N154">
        <f t="shared" si="8"/>
        <v>1</v>
      </c>
    </row>
    <row r="155" spans="1:14" x14ac:dyDescent="0.2">
      <c r="A155" s="255" t="str">
        <f>výpočty!$R$14</f>
        <v>Pionowy (z góry na dół)</v>
      </c>
      <c r="B155" s="256" t="str">
        <f>výpočty!$R$10</f>
        <v>Do ślimaka roletowego</v>
      </c>
      <c r="C155" t="str">
        <f>výpočty!$R$7</f>
        <v>Nakładany z prowadzeniem metalic-line 29 mm i mechanimem C3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>Nakładany system prowadzenia z metalic-line 29 mm i mechanizmem C3 można łączyć jedynie z systemem nawijania przez mechanike C3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Nakładany system prowadzenia z metalic-line 29 mm i mechanizmem C3 można łączyć jedynie z systemem nawijania przez mechanike C3</v>
      </c>
      <c r="N155">
        <f t="shared" si="8"/>
        <v>1</v>
      </c>
    </row>
    <row r="156" spans="1:14" x14ac:dyDescent="0.2">
      <c r="A156" s="255" t="str">
        <f>výpočty!$R$14</f>
        <v>Pionowy (z góry na dół)</v>
      </c>
      <c r="B156" s="256" t="str">
        <f>výpočty!$R$10</f>
        <v>Do ślimaka roletowego</v>
      </c>
      <c r="C156" t="str">
        <f>výpočty!$R$7</f>
        <v>Nakładany z prowadzeniem metalic-line 29 mm i mechanimem C3</v>
      </c>
      <c r="D156" s="36" t="str">
        <f>výpočty!$W$14</f>
        <v>śnieżno biala mat (E9)</v>
      </c>
      <c r="E156" t="s">
        <v>2131</v>
      </c>
      <c r="F156">
        <v>1</v>
      </c>
      <c r="G156" s="321" t="str">
        <f>Překlady!$A$142</f>
        <v>Kolor śnieżno biały w profilu E9 można łączyć jedynie z prowadzeniem Classic i systemem nawijania do tyłu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Kolor śnieżno biały w profilu E9 można łączyć jedynie z prowadzeniem Classic i systemem nawijania do tyłu</v>
      </c>
      <c r="N156">
        <f t="shared" si="8"/>
        <v>1</v>
      </c>
    </row>
    <row r="157" spans="1:14" x14ac:dyDescent="0.2">
      <c r="A157" s="255" t="str">
        <f>výpočty!$R$14</f>
        <v>Pionowy (z góry na dół)</v>
      </c>
      <c r="B157" s="256" t="str">
        <f>výpočty!$R$10</f>
        <v>Do ślimaka roletowego</v>
      </c>
      <c r="C157" t="str">
        <f>výpočty!$R$7</f>
        <v>Nakładany z prowadzeniem metalic-line 29 mm i mechanimem C3</v>
      </c>
      <c r="D157" s="36" t="str">
        <f>výpočty!$W$15</f>
        <v>Aluminowa plastik (E4)</v>
      </c>
      <c r="E157" t="s">
        <v>2131</v>
      </c>
      <c r="F157">
        <v>1</v>
      </c>
      <c r="G157" s="321" t="str">
        <f>Překlady!$A$143</f>
        <v>Kolor aluminium plastik w profilu E4 jest idealny do poziomych rozwiązań w kombinacji z prowadzeniem Classic z systemem nawijania do tyłu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Kolor aluminium plastik w profilu E4 jest idealny do poziomych rozwiązań w kombinacji z prowadzeniem Classic z systemem nawijania do tyłu</v>
      </c>
      <c r="N157">
        <f t="shared" si="8"/>
        <v>1</v>
      </c>
    </row>
    <row r="158" spans="1:14" x14ac:dyDescent="0.2">
      <c r="A158" s="255" t="str">
        <f>výpočty!$R$14</f>
        <v>Pionowy (z góry na dół)</v>
      </c>
      <c r="B158" s="256" t="str">
        <f>výpočty!$R$10</f>
        <v>Do ślimaka roletowego</v>
      </c>
      <c r="C158" t="str">
        <f>výpočty!$R$7</f>
        <v>Nakładany z prowadzeniem metalic-line 29 mm i mechanimem C3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>Nakładany system prowadzenia z metalic-line 29 mm i mechanizmem C3 można łączyć jedynie z systemem nawijania przez mechanike C3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Nakładany system prowadzenia z metalic-line 29 mm i mechanizmem C3 można łączyć jedynie z systemem nawijania przez mechanike C3</v>
      </c>
      <c r="N158">
        <f t="shared" si="8"/>
        <v>1</v>
      </c>
    </row>
    <row r="159" spans="1:14" x14ac:dyDescent="0.2">
      <c r="A159" s="255" t="str">
        <f>výpočty!$R$14</f>
        <v>Pionowy (z góry na dół)</v>
      </c>
      <c r="B159" s="256" t="str">
        <f>výpočty!$R$10</f>
        <v>Do ślimaka roletowego</v>
      </c>
      <c r="C159" t="str">
        <f>výpočty!$R$7</f>
        <v>Nakładany z prowadzeniem metalic-line 29 mm i mechanimem C3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>Nakładany system prowadzenia z metalic-line 29 mm i mechanizmem C3 można łączyć jedynie z systemem nawijania przez mechanike C3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Nakładany system prowadzenia z metalic-line 29 mm i mechanizmem C3 można łączyć jedynie z systemem nawijania przez mechanike C3</v>
      </c>
      <c r="N159">
        <f t="shared" si="8"/>
        <v>1</v>
      </c>
    </row>
    <row r="160" spans="1:14" x14ac:dyDescent="0.2">
      <c r="A160" s="255" t="str">
        <f>výpočty!$R$14</f>
        <v>Pionowy (z góry na dół)</v>
      </c>
      <c r="B160" s="256" t="str">
        <f>výpočty!$R$10</f>
        <v>Do ślimaka roletowego</v>
      </c>
      <c r="C160" t="str">
        <f>výpočty!$R$7</f>
        <v>Nakładany z prowadzeniem metalic-line 29 mm i mechanimem C3</v>
      </c>
      <c r="D160" s="36" t="str">
        <f>výpočty!$W$19</f>
        <v>Aluminium szerokość 25 mm (metallic-line)</v>
      </c>
      <c r="E160" t="s">
        <v>2131</v>
      </c>
      <c r="F160">
        <v>1</v>
      </c>
      <c r="G160" s="321" t="str">
        <f>Překlady!$A$146</f>
        <v>Nakładany system prowadzenia z metalic-line 29 mm i mechanizmem C3 można łączyć jedynie z systemem nawijania przez mechanike C3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Nakładany system prowadzenia z metalic-line 29 mm i mechanizmem C3 można łączyć jedynie z systemem nawijania przez mechanike C3</v>
      </c>
      <c r="N160">
        <f t="shared" si="8"/>
        <v>1</v>
      </c>
    </row>
    <row r="161" spans="1:14" ht="13.5" thickBot="1" x14ac:dyDescent="0.25">
      <c r="A161" s="255" t="str">
        <f>výpočty!$R$14</f>
        <v>Pionowy (z góry na dół)</v>
      </c>
      <c r="B161" s="256" t="str">
        <f>výpočty!$R$10</f>
        <v>Do ślimaka roletowego</v>
      </c>
      <c r="C161" t="str">
        <f>výpočty!$R$7</f>
        <v>Nakładany z prowadzeniem metalic-line 29 mm i mechanimem C3</v>
      </c>
      <c r="D161" s="27" t="str">
        <f>výpočty!$W$20</f>
        <v>Nierdz. szerokość 25 mm (metallic-line)</v>
      </c>
      <c r="E161" t="s">
        <v>2131</v>
      </c>
      <c r="F161">
        <v>1</v>
      </c>
      <c r="G161" s="321" t="str">
        <f>Překlady!$A$146</f>
        <v>Nakładany system prowadzenia z metalic-line 29 mm i mechanizmem C3 można łączyć jedynie z systemem nawijania przez mechanike C3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Nakładany system prowadzenia z metalic-line 29 mm i mechanizmem C3 można łączyć jedynie z systemem nawijania przez mechanike C3</v>
      </c>
      <c r="N161">
        <f t="shared" si="8"/>
        <v>1</v>
      </c>
    </row>
    <row r="162" spans="1:14" x14ac:dyDescent="0.2">
      <c r="A162" s="255" t="str">
        <f>výpočty!$R$14</f>
        <v>Pionowy (z góry na dół)</v>
      </c>
      <c r="B162" t="str">
        <f>výpočty!$R$11</f>
        <v>Z mecjanizmem C3</v>
      </c>
      <c r="C162" t="str">
        <f>výpočty!$R$3</f>
        <v>TOP Basic - wpuszczany do przykręcenia plastikowy</v>
      </c>
      <c r="D162" s="26" t="str">
        <f>výpočty!$W$3</f>
        <v>Czarny (E23)</v>
      </c>
      <c r="E162" s="321" t="s">
        <v>2130</v>
      </c>
      <c r="F162">
        <v>2</v>
      </c>
      <c r="G162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2">
        <f t="shared" si="8"/>
        <v>2</v>
      </c>
    </row>
    <row r="163" spans="1:14" x14ac:dyDescent="0.2">
      <c r="A163" s="255" t="str">
        <f>výpočty!$R$14</f>
        <v>Pionowy (z góry na dół)</v>
      </c>
      <c r="B163" t="str">
        <f>výpočty!$R$11</f>
        <v>Z mecjanizmem C3</v>
      </c>
      <c r="C163" t="str">
        <f>výpočty!$R$3</f>
        <v>TOP Basic - wpuszczany do przykręcenia plastikowy</v>
      </c>
      <c r="D163" s="36" t="str">
        <f>výpočty!$W$4</f>
        <v>Biały (E23)</v>
      </c>
      <c r="E163" s="321" t="s">
        <v>2130</v>
      </c>
      <c r="F163">
        <v>2</v>
      </c>
      <c r="G163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3">
        <f t="shared" si="8"/>
        <v>2</v>
      </c>
    </row>
    <row r="164" spans="1:14" x14ac:dyDescent="0.2">
      <c r="A164" s="255" t="str">
        <f>výpočty!$R$14</f>
        <v>Pionowy (z góry na dół)</v>
      </c>
      <c r="B164" t="str">
        <f>výpočty!$R$11</f>
        <v>Z mecjanizmem C3</v>
      </c>
      <c r="C164" t="str">
        <f>výpočty!$R$3</f>
        <v>TOP Basic - wpuszczany do przykręcenia plastikowy</v>
      </c>
      <c r="D164" s="36" t="str">
        <f>výpočty!$W$5</f>
        <v>Szary (E23)</v>
      </c>
      <c r="E164" s="321" t="s">
        <v>2130</v>
      </c>
      <c r="F164">
        <v>2</v>
      </c>
      <c r="G164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4">
        <f t="shared" si="8"/>
        <v>2</v>
      </c>
    </row>
    <row r="165" spans="1:14" x14ac:dyDescent="0.2">
      <c r="A165" s="255" t="str">
        <f>výpočty!$R$14</f>
        <v>Pionowy (z góry na dół)</v>
      </c>
      <c r="B165" t="str">
        <f>výpočty!$R$11</f>
        <v>Z mecjanizmem C3</v>
      </c>
      <c r="C165" t="str">
        <f>výpočty!$R$3</f>
        <v>TOP Basic - wpuszczany do przykręcenia plastikowy</v>
      </c>
      <c r="D165" s="36" t="str">
        <f>výpočty!$W$6</f>
        <v>Aluminowa plastik (E23)</v>
      </c>
      <c r="E165" s="321" t="s">
        <v>2130</v>
      </c>
      <c r="F165">
        <v>2</v>
      </c>
      <c r="G165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5">
        <f t="shared" si="8"/>
        <v>2</v>
      </c>
    </row>
    <row r="166" spans="1:14" x14ac:dyDescent="0.2">
      <c r="A166" s="255" t="str">
        <f>výpočty!$R$14</f>
        <v>Pionowy (z góry na dół)</v>
      </c>
      <c r="B166" t="str">
        <f>výpočty!$R$11</f>
        <v>Z mecjanizmem C3</v>
      </c>
      <c r="C166" t="str">
        <f>výpočty!$R$3</f>
        <v>TOP Basic - wpuszczany do przykręcenia plastikowy</v>
      </c>
      <c r="D166" s="36" t="str">
        <f>výpočty!$W$7</f>
        <v>Buk (E23)</v>
      </c>
      <c r="E166" s="321" t="s">
        <v>2130</v>
      </c>
      <c r="F166">
        <v>2</v>
      </c>
      <c r="G166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6">
        <f t="shared" si="8"/>
        <v>2</v>
      </c>
    </row>
    <row r="167" spans="1:14" x14ac:dyDescent="0.2">
      <c r="A167" s="255" t="str">
        <f>výpočty!$R$14</f>
        <v>Pionowy (z góry na dół)</v>
      </c>
      <c r="B167" t="str">
        <f>výpočty!$R$11</f>
        <v>Z mecjanizmem C3</v>
      </c>
      <c r="C167" t="str">
        <f>výpočty!$R$3</f>
        <v>TOP Basic - wpuszczany do przykręcenia plastikowy</v>
      </c>
      <c r="D167" s="36" t="str">
        <f>výpočty!$W$8</f>
        <v>Czereśnia (E23)</v>
      </c>
      <c r="E167" s="321" t="s">
        <v>2130</v>
      </c>
      <c r="F167">
        <v>2</v>
      </c>
      <c r="G167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7">
        <f t="shared" si="8"/>
        <v>2</v>
      </c>
    </row>
    <row r="168" spans="1:14" x14ac:dyDescent="0.2">
      <c r="A168" s="255" t="str">
        <f>výpočty!$R$14</f>
        <v>Pionowy (z góry na dół)</v>
      </c>
      <c r="B168" t="str">
        <f>výpočty!$R$11</f>
        <v>Z mecjanizmem C3</v>
      </c>
      <c r="C168" t="str">
        <f>výpočty!$R$3</f>
        <v>TOP Basic - wpuszczany do przykręcenia plastikowy</v>
      </c>
      <c r="D168" s="36" t="str">
        <f>výpočty!$W$9</f>
        <v>Klon (E23)</v>
      </c>
      <c r="E168" s="321" t="s">
        <v>2130</v>
      </c>
      <c r="F168">
        <v>2</v>
      </c>
      <c r="G168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8">
        <f t="shared" si="8"/>
        <v>2</v>
      </c>
    </row>
    <row r="169" spans="1:14" x14ac:dyDescent="0.2">
      <c r="A169" s="255" t="str">
        <f>výpočty!$R$14</f>
        <v>Pionowy (z góry na dół)</v>
      </c>
      <c r="B169" t="str">
        <f>výpočty!$R$11</f>
        <v>Z mecjanizmem C3</v>
      </c>
      <c r="C169" t="str">
        <f>výpočty!$R$3</f>
        <v>TOP Basic - wpuszczany do przykręcenia plastikowy</v>
      </c>
      <c r="D169" s="36" t="str">
        <f>výpočty!$W$10</f>
        <v>Brzoza (E23)</v>
      </c>
      <c r="E169" s="321" t="s">
        <v>2130</v>
      </c>
      <c r="F169">
        <v>2</v>
      </c>
      <c r="G169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9">
        <f t="shared" si="8"/>
        <v>2</v>
      </c>
    </row>
    <row r="170" spans="1:14" x14ac:dyDescent="0.2">
      <c r="A170" s="255" t="str">
        <f>výpočty!$R$14</f>
        <v>Pionowy (z góry na dół)</v>
      </c>
      <c r="B170" t="str">
        <f>výpočty!$R$11</f>
        <v>Z mecjanizmem C3</v>
      </c>
      <c r="C170" t="str">
        <f>výpočty!$R$3</f>
        <v>TOP Basic - wpuszczany do przykręcenia plastikowy</v>
      </c>
      <c r="D170" s="36" t="str">
        <f>výpočty!$W$11</f>
        <v>Czereśnia havana (E23)</v>
      </c>
      <c r="E170" s="321" t="s">
        <v>2130</v>
      </c>
      <c r="F170">
        <v>2</v>
      </c>
      <c r="G170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0">
        <f t="shared" si="8"/>
        <v>2</v>
      </c>
    </row>
    <row r="171" spans="1:14" x14ac:dyDescent="0.2">
      <c r="A171" s="255" t="str">
        <f>výpočty!$R$14</f>
        <v>Pionowy (z góry na dół)</v>
      </c>
      <c r="B171" t="str">
        <f>výpočty!$R$11</f>
        <v>Z mecjanizmem C3</v>
      </c>
      <c r="C171" t="str">
        <f>výpočty!$R$3</f>
        <v>TOP Basic - wpuszczany do przykręcenia plastikowy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1">
        <f t="shared" si="8"/>
        <v>2</v>
      </c>
    </row>
    <row r="172" spans="1:14" x14ac:dyDescent="0.2">
      <c r="A172" s="255" t="str">
        <f>výpočty!$R$14</f>
        <v>Pionowy (z góry na dół)</v>
      </c>
      <c r="B172" t="str">
        <f>výpočty!$R$11</f>
        <v>Z mecjanizmem C3</v>
      </c>
      <c r="C172" t="str">
        <f>výpočty!$R$3</f>
        <v>TOP Basic - wpuszczany do przykręcenia plastikowy</v>
      </c>
      <c r="D172" s="36" t="str">
        <f>výpočty!$W$14</f>
        <v>śnieżno biala mat (E9)</v>
      </c>
      <c r="E172" t="s">
        <v>2131</v>
      </c>
      <c r="F172">
        <v>1</v>
      </c>
      <c r="G172" s="321" t="str">
        <f>Překlady!$A$142</f>
        <v>Kolor śnieżno biały w profilu E9 można łączyć jedynie z prowadzeniem Classic i systemem nawijania do tyłu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Kolor śnieżno biały w profilu E9 można łączyć jedynie z prowadzeniem Classic i systemem nawijania do tyłu</v>
      </c>
      <c r="N172">
        <f t="shared" si="8"/>
        <v>1</v>
      </c>
    </row>
    <row r="173" spans="1:14" x14ac:dyDescent="0.2">
      <c r="A173" s="255" t="str">
        <f>výpočty!$R$14</f>
        <v>Pionowy (z góry na dół)</v>
      </c>
      <c r="B173" t="str">
        <f>výpočty!$R$11</f>
        <v>Z mecjanizmem C3</v>
      </c>
      <c r="C173" t="str">
        <f>výpočty!$R$3</f>
        <v>TOP Basic - wpuszczany do przykręcenia plastikowy</v>
      </c>
      <c r="D173" s="36" t="str">
        <f>výpočty!$W$15</f>
        <v>Aluminowa plastik (E4)</v>
      </c>
      <c r="E173" t="s">
        <v>2131</v>
      </c>
      <c r="F173">
        <v>1</v>
      </c>
      <c r="G173" s="321" t="str">
        <f>Překlady!$A$143</f>
        <v>Kolor aluminium plastik w profilu E4 jest idealny do poziomych rozwiązań w kombinacji z prowadzeniem Classic z systemem nawijania do tyłu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Kolor aluminium plastik w profilu E4 jest idealny do poziomych rozwiązań w kombinacji z prowadzeniem Classic z systemem nawijania do tyłu</v>
      </c>
      <c r="N173">
        <f t="shared" si="8"/>
        <v>1</v>
      </c>
    </row>
    <row r="174" spans="1:14" x14ac:dyDescent="0.2">
      <c r="A174" s="255" t="str">
        <f>výpočty!$R$14</f>
        <v>Pionowy (z góry na dół)</v>
      </c>
      <c r="B174" t="str">
        <f>výpočty!$R$11</f>
        <v>Z mecjanizmem C3</v>
      </c>
      <c r="C174" t="str">
        <f>výpočty!$R$3</f>
        <v>TOP Basic - wpuszczany do przykręcenia plastikowy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Systemu prowadzenia TOP BASIC nie da się zastosować z roletowym profilem Metallic line. Należy wybrać wersję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Systemu prowadzenia TOP BASIC nie da się zastosować z roletowym profilem Metallic line. Należy wybrać wersję TOP.</v>
      </c>
      <c r="N174">
        <f t="shared" si="8"/>
        <v>1</v>
      </c>
    </row>
    <row r="175" spans="1:14" x14ac:dyDescent="0.2">
      <c r="A175" s="255" t="str">
        <f>výpočty!$R$14</f>
        <v>Pionowy (z góry na dół)</v>
      </c>
      <c r="B175" t="str">
        <f>výpočty!$R$11</f>
        <v>Z mecjanizmem C3</v>
      </c>
      <c r="C175" t="str">
        <f>výpočty!$R$3</f>
        <v>TOP Basic - wpuszczany do przykręcenia plastikowy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Systemu prowadzenia TOP BASIC nie da się zastosować z roletowym profilem Metallic line. Należy wybrać wersję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Systemu prowadzenia TOP BASIC nie da się zastosować z roletowym profilem Metallic line. Należy wybrać wersję TOP.</v>
      </c>
      <c r="N175">
        <f t="shared" si="8"/>
        <v>1</v>
      </c>
    </row>
    <row r="176" spans="1:14" x14ac:dyDescent="0.2">
      <c r="A176" s="255" t="str">
        <f>výpočty!$R$14</f>
        <v>Pionowy (z góry na dół)</v>
      </c>
      <c r="B176" t="str">
        <f>výpočty!$R$11</f>
        <v>Z mecjanizmem C3</v>
      </c>
      <c r="C176" t="str">
        <f>výpočty!$R$3</f>
        <v>TOP Basic - wpuszczany do przykręcenia plastikowy</v>
      </c>
      <c r="D176" s="36" t="str">
        <f>výpočty!$W$19</f>
        <v>Aluminium szerokość 25 mm (metallic-line)</v>
      </c>
      <c r="E176" t="s">
        <v>2131</v>
      </c>
      <c r="F176">
        <v>1</v>
      </c>
      <c r="G176" s="321" t="str">
        <f>Překlady!$A$144</f>
        <v>Systemu prowadzenia TOP BASIC nie da się zastosować z roletowym profilem Metallic line. Należy wybrać wersję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Systemu prowadzenia TOP BASIC nie da się zastosować z roletowym profilem Metallic line. Należy wybrać wersję TOP.</v>
      </c>
      <c r="N176">
        <f t="shared" si="8"/>
        <v>1</v>
      </c>
    </row>
    <row r="177" spans="1:14" ht="13.5" thickBot="1" x14ac:dyDescent="0.25">
      <c r="A177" s="255" t="str">
        <f>výpočty!$R$14</f>
        <v>Pionowy (z góry na dół)</v>
      </c>
      <c r="B177" t="str">
        <f>výpočty!$R$11</f>
        <v>Z mecjanizmem C3</v>
      </c>
      <c r="C177" t="str">
        <f>výpočty!$R$3</f>
        <v>TOP Basic - wpuszczany do przykręcenia plastikowy</v>
      </c>
      <c r="D177" s="27" t="str">
        <f>výpočty!$W$20</f>
        <v>Nierdz. szerokość 25 mm (metallic-line)</v>
      </c>
      <c r="E177" t="s">
        <v>2131</v>
      </c>
      <c r="F177">
        <v>1</v>
      </c>
      <c r="G177" s="321" t="str">
        <f>Překlady!$A$144</f>
        <v>Systemu prowadzenia TOP BASIC nie da się zastosować z roletowym profilem Metallic line. Należy wybrać wersję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Systemu prowadzenia TOP BASIC nie da się zastosować z roletowym profilem Metallic line. Należy wybrać wersję TOP.</v>
      </c>
      <c r="N177">
        <f t="shared" si="8"/>
        <v>1</v>
      </c>
    </row>
    <row r="178" spans="1:14" x14ac:dyDescent="0.2">
      <c r="A178" s="255" t="str">
        <f>výpočty!$R$14</f>
        <v>Pionowy (z góry na dół)</v>
      </c>
      <c r="B178" t="str">
        <f>výpočty!$R$11</f>
        <v>Z mecjanizmem C3</v>
      </c>
      <c r="C178" t="str">
        <f>výpočty!$R$4</f>
        <v>Classic - wpuszczany do zafrezowania</v>
      </c>
      <c r="D178" s="26" t="str">
        <f>výpočty!$W$3</f>
        <v>Czarny (E23)</v>
      </c>
      <c r="E178" t="s">
        <v>2131</v>
      </c>
      <c r="F178">
        <v>1</v>
      </c>
      <c r="G178" t="str">
        <f>Překlady!$A$150</f>
        <v>Systemu nawijania na mechanizm C3 nie można łączyć z prowadzeniem Classic, zalecamy wybrać inny system nawijania.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Systemu nawijania na mechanizm C3 nie można łączyć z prowadzeniem Classic, zalecamy wybrać inny system nawijania.</v>
      </c>
      <c r="N178">
        <f t="shared" si="8"/>
        <v>1</v>
      </c>
    </row>
    <row r="179" spans="1:14" x14ac:dyDescent="0.2">
      <c r="A179" s="255" t="str">
        <f>výpočty!$R$14</f>
        <v>Pionowy (z góry na dół)</v>
      </c>
      <c r="B179" t="str">
        <f>výpočty!$R$11</f>
        <v>Z mecjanizmem C3</v>
      </c>
      <c r="C179" t="str">
        <f>výpočty!$R$4</f>
        <v>Classic - wpuszczany do zafrezowania</v>
      </c>
      <c r="D179" s="36" t="str">
        <f>výpočty!$W$4</f>
        <v>Biały (E23)</v>
      </c>
      <c r="E179" t="s">
        <v>2131</v>
      </c>
      <c r="F179">
        <v>1</v>
      </c>
      <c r="G179" t="str">
        <f>Překlady!$A$150</f>
        <v>Systemu nawijania na mechanizm C3 nie można łączyć z prowadzeniem Classic, zalecamy wybrać inny system nawijania.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Systemu nawijania na mechanizm C3 nie można łączyć z prowadzeniem Classic, zalecamy wybrać inny system nawijania.</v>
      </c>
      <c r="N179">
        <f t="shared" si="8"/>
        <v>1</v>
      </c>
    </row>
    <row r="180" spans="1:14" x14ac:dyDescent="0.2">
      <c r="A180" s="255" t="str">
        <f>výpočty!$R$14</f>
        <v>Pionowy (z góry na dół)</v>
      </c>
      <c r="B180" t="str">
        <f>výpočty!$R$11</f>
        <v>Z mecjanizmem C3</v>
      </c>
      <c r="C180" t="str">
        <f>výpočty!$R$4</f>
        <v>Classic - wpuszczany do zafrezowania</v>
      </c>
      <c r="D180" s="36" t="str">
        <f>výpočty!$W$5</f>
        <v>Szary (E23)</v>
      </c>
      <c r="E180" t="s">
        <v>2131</v>
      </c>
      <c r="F180">
        <v>1</v>
      </c>
      <c r="G180" t="str">
        <f>Překlady!$A$150</f>
        <v>Systemu nawijania na mechanizm C3 nie można łączyć z prowadzeniem Classic, zalecamy wybrać inny system nawijania.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Systemu nawijania na mechanizm C3 nie można łączyć z prowadzeniem Classic, zalecamy wybrać inny system nawijania.</v>
      </c>
      <c r="N180">
        <f t="shared" si="8"/>
        <v>1</v>
      </c>
    </row>
    <row r="181" spans="1:14" x14ac:dyDescent="0.2">
      <c r="A181" s="255" t="str">
        <f>výpočty!$R$14</f>
        <v>Pionowy (z góry na dół)</v>
      </c>
      <c r="B181" t="str">
        <f>výpočty!$R$11</f>
        <v>Z mecjanizmem C3</v>
      </c>
      <c r="C181" t="str">
        <f>výpočty!$R$4</f>
        <v>Classic - wpuszczany do zafrezowania</v>
      </c>
      <c r="D181" s="36" t="str">
        <f>výpočty!$W$6</f>
        <v>Aluminowa plastik (E23)</v>
      </c>
      <c r="E181" t="s">
        <v>2131</v>
      </c>
      <c r="F181">
        <v>1</v>
      </c>
      <c r="G181" t="str">
        <f>Překlady!$A$150</f>
        <v>Systemu nawijania na mechanizm C3 nie można łączyć z prowadzeniem Classic, zalecamy wybrać inny system nawijania.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Systemu nawijania na mechanizm C3 nie można łączyć z prowadzeniem Classic, zalecamy wybrać inny system nawijania.</v>
      </c>
      <c r="N181">
        <f t="shared" si="8"/>
        <v>1</v>
      </c>
    </row>
    <row r="182" spans="1:14" x14ac:dyDescent="0.2">
      <c r="A182" s="255" t="str">
        <f>výpočty!$R$14</f>
        <v>Pionowy (z góry na dół)</v>
      </c>
      <c r="B182" t="str">
        <f>výpočty!$R$11</f>
        <v>Z mecjanizmem C3</v>
      </c>
      <c r="C182" t="str">
        <f>výpočty!$R$4</f>
        <v>Classic - wpuszczany do zafrezowania</v>
      </c>
      <c r="D182" s="36" t="str">
        <f>výpočty!$W$7</f>
        <v>Buk (E23)</v>
      </c>
      <c r="E182" t="s">
        <v>2131</v>
      </c>
      <c r="F182">
        <v>1</v>
      </c>
      <c r="G182" t="str">
        <f>Překlady!$A$150</f>
        <v>Systemu nawijania na mechanizm C3 nie można łączyć z prowadzeniem Classic, zalecamy wybrać inny system nawijania.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Systemu nawijania na mechanizm C3 nie można łączyć z prowadzeniem Classic, zalecamy wybrać inny system nawijania.</v>
      </c>
      <c r="N182">
        <f t="shared" si="8"/>
        <v>1</v>
      </c>
    </row>
    <row r="183" spans="1:14" x14ac:dyDescent="0.2">
      <c r="A183" s="255" t="str">
        <f>výpočty!$R$14</f>
        <v>Pionowy (z góry na dół)</v>
      </c>
      <c r="B183" t="str">
        <f>výpočty!$R$11</f>
        <v>Z mecjanizmem C3</v>
      </c>
      <c r="C183" t="str">
        <f>výpočty!$R$4</f>
        <v>Classic - wpuszczany do zafrezowania</v>
      </c>
      <c r="D183" s="36" t="str">
        <f>výpočty!$W$8</f>
        <v>Czereśnia (E23)</v>
      </c>
      <c r="E183" t="s">
        <v>2131</v>
      </c>
      <c r="F183">
        <v>1</v>
      </c>
      <c r="G183" t="str">
        <f>Překlady!$A$150</f>
        <v>Systemu nawijania na mechanizm C3 nie można łączyć z prowadzeniem Classic, zalecamy wybrać inny system nawijania.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Systemu nawijania na mechanizm C3 nie można łączyć z prowadzeniem Classic, zalecamy wybrać inny system nawijania.</v>
      </c>
      <c r="N183">
        <f t="shared" si="8"/>
        <v>1</v>
      </c>
    </row>
    <row r="184" spans="1:14" x14ac:dyDescent="0.2">
      <c r="A184" s="255" t="str">
        <f>výpočty!$R$14</f>
        <v>Pionowy (z góry na dół)</v>
      </c>
      <c r="B184" t="str">
        <f>výpočty!$R$11</f>
        <v>Z mecjanizmem C3</v>
      </c>
      <c r="C184" t="str">
        <f>výpočty!$R$4</f>
        <v>Classic - wpuszczany do zafrezowania</v>
      </c>
      <c r="D184" s="36" t="str">
        <f>výpočty!$W$9</f>
        <v>Klon (E23)</v>
      </c>
      <c r="E184" t="s">
        <v>2131</v>
      </c>
      <c r="F184">
        <v>1</v>
      </c>
      <c r="G184" t="str">
        <f>Překlady!$A$150</f>
        <v>Systemu nawijania na mechanizm C3 nie można łączyć z prowadzeniem Classic, zalecamy wybrać inny system nawijania.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Systemu nawijania na mechanizm C3 nie można łączyć z prowadzeniem Classic, zalecamy wybrać inny system nawijania.</v>
      </c>
      <c r="N184">
        <f t="shared" si="8"/>
        <v>1</v>
      </c>
    </row>
    <row r="185" spans="1:14" x14ac:dyDescent="0.2">
      <c r="A185" s="255" t="str">
        <f>výpočty!$R$14</f>
        <v>Pionowy (z góry na dół)</v>
      </c>
      <c r="B185" t="str">
        <f>výpočty!$R$11</f>
        <v>Z mecjanizmem C3</v>
      </c>
      <c r="C185" t="str">
        <f>výpočty!$R$4</f>
        <v>Classic - wpuszczany do zafrezowania</v>
      </c>
      <c r="D185" s="36" t="str">
        <f>výpočty!$W$10</f>
        <v>Brzoza (E23)</v>
      </c>
      <c r="E185" t="s">
        <v>2131</v>
      </c>
      <c r="F185">
        <v>1</v>
      </c>
      <c r="G185" t="str">
        <f>Překlady!$A$150</f>
        <v>Systemu nawijania na mechanizm C3 nie można łączyć z prowadzeniem Classic, zalecamy wybrać inny system nawijania.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Systemu nawijania na mechanizm C3 nie można łączyć z prowadzeniem Classic, zalecamy wybrać inny system nawijania.</v>
      </c>
      <c r="N185">
        <f t="shared" si="8"/>
        <v>1</v>
      </c>
    </row>
    <row r="186" spans="1:14" x14ac:dyDescent="0.2">
      <c r="A186" s="255" t="str">
        <f>výpočty!$R$14</f>
        <v>Pionowy (z góry na dół)</v>
      </c>
      <c r="B186" t="str">
        <f>výpočty!$R$11</f>
        <v>Z mecjanizmem C3</v>
      </c>
      <c r="C186" t="str">
        <f>výpočty!$R$4</f>
        <v>Classic - wpuszczany do zafrezowania</v>
      </c>
      <c r="D186" s="36" t="str">
        <f>výpočty!$W$11</f>
        <v>Czereśnia havana (E23)</v>
      </c>
      <c r="E186" t="s">
        <v>2131</v>
      </c>
      <c r="F186">
        <v>1</v>
      </c>
      <c r="G186" t="str">
        <f>Překlady!$A$150</f>
        <v>Systemu nawijania na mechanizm C3 nie można łączyć z prowadzeniem Classic, zalecamy wybrać inny system nawijania.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Systemu nawijania na mechanizm C3 nie można łączyć z prowadzeniem Classic, zalecamy wybrać inny system nawijania.</v>
      </c>
      <c r="N186">
        <f t="shared" si="8"/>
        <v>1</v>
      </c>
    </row>
    <row r="187" spans="1:14" x14ac:dyDescent="0.2">
      <c r="A187" s="255" t="str">
        <f>výpočty!$R$14</f>
        <v>Pionowy (z góry na dół)</v>
      </c>
      <c r="B187" t="str">
        <f>výpočty!$R$11</f>
        <v>Z mecjanizmem C3</v>
      </c>
      <c r="C187" t="str">
        <f>výpočty!$R$4</f>
        <v>Classic - wpuszczany do zafrezowania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Systemu nawijania na mechanizm C3 nie można łączyć z prowadzeniem Classic, zalecamy wybrać inny system nawijania.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Systemu nawijania na mechanizm C3 nie można łączyć z prowadzeniem Classic, zalecamy wybrać inny system nawijania.</v>
      </c>
      <c r="N187">
        <f t="shared" si="8"/>
        <v>1</v>
      </c>
    </row>
    <row r="188" spans="1:14" x14ac:dyDescent="0.2">
      <c r="A188" s="255" t="str">
        <f>výpočty!$R$14</f>
        <v>Pionowy (z góry na dół)</v>
      </c>
      <c r="B188" t="str">
        <f>výpočty!$R$11</f>
        <v>Z mecjanizmem C3</v>
      </c>
      <c r="C188" t="str">
        <f>výpočty!$R$4</f>
        <v>Classic - wpuszczany do zafrezowania</v>
      </c>
      <c r="D188" s="36" t="str">
        <f>výpočty!$W$14</f>
        <v>śnieżno biala mat (E9)</v>
      </c>
      <c r="E188" t="s">
        <v>2131</v>
      </c>
      <c r="F188">
        <v>1</v>
      </c>
      <c r="G188" t="str">
        <f>Překlady!$A$150</f>
        <v>Systemu nawijania na mechanizm C3 nie można łączyć z prowadzeniem Classic, zalecamy wybrać inny system nawijania.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Systemu nawijania na mechanizm C3 nie można łączyć z prowadzeniem Classic, zalecamy wybrać inny system nawijania.</v>
      </c>
      <c r="N188">
        <f t="shared" si="8"/>
        <v>1</v>
      </c>
    </row>
    <row r="189" spans="1:14" x14ac:dyDescent="0.2">
      <c r="A189" s="255" t="str">
        <f>výpočty!$R$14</f>
        <v>Pionowy (z góry na dół)</v>
      </c>
      <c r="B189" t="str">
        <f>výpočty!$R$11</f>
        <v>Z mecjanizmem C3</v>
      </c>
      <c r="C189" t="str">
        <f>výpočty!$R$4</f>
        <v>Classic - wpuszczany do zafrezowania</v>
      </c>
      <c r="D189" s="36" t="str">
        <f>výpočty!$W$15</f>
        <v>Aluminowa plastik (E4)</v>
      </c>
      <c r="E189" t="s">
        <v>2131</v>
      </c>
      <c r="F189">
        <v>1</v>
      </c>
      <c r="G189" s="321" t="str">
        <f>Překlady!$A$143</f>
        <v>Kolor aluminium plastik w profilu E4 jest idealny do poziomych rozwiązań w kombinacji z prowadzeniem Classic z systemem nawijania do tyłu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Kolor aluminium plastik w profilu E4 jest idealny do poziomych rozwiązań w kombinacji z prowadzeniem Classic z systemem nawijania do tyłu</v>
      </c>
      <c r="N189">
        <f t="shared" si="8"/>
        <v>1</v>
      </c>
    </row>
    <row r="190" spans="1:14" x14ac:dyDescent="0.2">
      <c r="A190" s="255" t="str">
        <f>výpočty!$R$14</f>
        <v>Pionowy (z góry na dół)</v>
      </c>
      <c r="B190" t="str">
        <f>výpočty!$R$11</f>
        <v>Z mecjanizmem C3</v>
      </c>
      <c r="C190" t="str">
        <f>výpočty!$R$4</f>
        <v>Classic - wpuszczany do zafrezowania</v>
      </c>
      <c r="D190" s="36">
        <f>výpočty!$W$17</f>
        <v>0</v>
      </c>
      <c r="E190" t="s">
        <v>2131</v>
      </c>
      <c r="F190">
        <v>1</v>
      </c>
      <c r="G190" t="str">
        <f>Překlady!$A$150</f>
        <v>Systemu nawijania na mechanizm C3 nie można łączyć z prowadzeniem Classic, zalecamy wybrać inny system nawijania.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Systemu nawijania na mechanizm C3 nie można łączyć z prowadzeniem Classic, zalecamy wybrać inny system nawijania.</v>
      </c>
      <c r="N190">
        <f t="shared" si="8"/>
        <v>1</v>
      </c>
    </row>
    <row r="191" spans="1:14" x14ac:dyDescent="0.2">
      <c r="A191" s="255" t="str">
        <f>výpočty!$R$14</f>
        <v>Pionowy (z góry na dół)</v>
      </c>
      <c r="B191" t="str">
        <f>výpočty!$R$11</f>
        <v>Z mecjanizmem C3</v>
      </c>
      <c r="C191" t="str">
        <f>výpočty!$R$4</f>
        <v>Classic - wpuszczany do zafrezowania</v>
      </c>
      <c r="D191" s="36">
        <f>výpočty!$W$18</f>
        <v>0</v>
      </c>
      <c r="E191" t="s">
        <v>2131</v>
      </c>
      <c r="F191">
        <v>1</v>
      </c>
      <c r="G191" t="str">
        <f>Překlady!$A$150</f>
        <v>Systemu nawijania na mechanizm C3 nie można łączyć z prowadzeniem Classic, zalecamy wybrać inny system nawijania.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Systemu nawijania na mechanizm C3 nie można łączyć z prowadzeniem Classic, zalecamy wybrać inny system nawijania.</v>
      </c>
      <c r="N191">
        <f t="shared" si="8"/>
        <v>1</v>
      </c>
    </row>
    <row r="192" spans="1:14" x14ac:dyDescent="0.2">
      <c r="A192" s="255" t="str">
        <f>výpočty!$R$14</f>
        <v>Pionowy (z góry na dół)</v>
      </c>
      <c r="B192" t="str">
        <f>výpočty!$R$11</f>
        <v>Z mecjanizmem C3</v>
      </c>
      <c r="C192" t="str">
        <f>výpočty!$R$4</f>
        <v>Classic - wpuszczany do zafrezowania</v>
      </c>
      <c r="D192" s="36" t="str">
        <f>výpočty!$W$19</f>
        <v>Aluminium szerokość 25 mm (metallic-line)</v>
      </c>
      <c r="E192" t="s">
        <v>2131</v>
      </c>
      <c r="F192">
        <v>1</v>
      </c>
      <c r="G192" t="str">
        <f>Překlady!$A$150</f>
        <v>Systemu nawijania na mechanizm C3 nie można łączyć z prowadzeniem Classic, zalecamy wybrać inny system nawijania.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Systemu nawijania na mechanizm C3 nie można łączyć z prowadzeniem Classic, zalecamy wybrać inny system nawijania.</v>
      </c>
      <c r="N192">
        <f t="shared" si="8"/>
        <v>1</v>
      </c>
    </row>
    <row r="193" spans="1:14" ht="13.5" thickBot="1" x14ac:dyDescent="0.25">
      <c r="A193" s="255" t="str">
        <f>výpočty!$R$14</f>
        <v>Pionowy (z góry na dół)</v>
      </c>
      <c r="B193" t="str">
        <f>výpočty!$R$11</f>
        <v>Z mecjanizmem C3</v>
      </c>
      <c r="C193" t="str">
        <f>výpočty!$R$4</f>
        <v>Classic - wpuszczany do zafrezowania</v>
      </c>
      <c r="D193" s="27" t="str">
        <f>výpočty!$W$20</f>
        <v>Nierdz. szerokość 25 mm (metallic-line)</v>
      </c>
      <c r="E193" t="s">
        <v>2131</v>
      </c>
      <c r="F193">
        <v>1</v>
      </c>
      <c r="G193" t="str">
        <f>Překlady!$A$150</f>
        <v>Systemu nawijania na mechanizm C3 nie można łączyć z prowadzeniem Classic, zalecamy wybrać inny system nawijania.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Systemu nawijania na mechanizm C3 nie można łączyć z prowadzeniem Classic, zalecamy wybrać inny system nawijania.</v>
      </c>
      <c r="N193">
        <f t="shared" si="8"/>
        <v>1</v>
      </c>
    </row>
    <row r="194" spans="1:14" x14ac:dyDescent="0.2">
      <c r="A194" s="255" t="str">
        <f>výpočty!$R$14</f>
        <v>Pionowy (z góry na dół)</v>
      </c>
      <c r="B194" t="str">
        <f>výpočty!$R$11</f>
        <v>Z mecjanizmem C3</v>
      </c>
      <c r="C194" t="str">
        <f>výpočty!$R$5</f>
        <v>Frame - nakładany z listwą maskującą</v>
      </c>
      <c r="D194" s="26" t="str">
        <f>výpočty!$W$3</f>
        <v>Czarny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Pionowy (z góry na dół)</v>
      </c>
      <c r="B195" t="str">
        <f>výpočty!$R$11</f>
        <v>Z mecjanizmem C3</v>
      </c>
      <c r="C195" t="str">
        <f>výpočty!$R$5</f>
        <v>Frame - nakładany z listwą maskującą</v>
      </c>
      <c r="D195" s="36" t="str">
        <f>výpočty!$W$4</f>
        <v>Biały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Pionowy (z góry na dół)</v>
      </c>
      <c r="B196" t="str">
        <f>výpočty!$R$11</f>
        <v>Z mecjanizmem C3</v>
      </c>
      <c r="C196" t="str">
        <f>výpočty!$R$5</f>
        <v>Frame - nakładany z listwą maskującą</v>
      </c>
      <c r="D196" s="36" t="str">
        <f>výpočty!$W$5</f>
        <v>Szary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Pionowy (z góry na dół)</v>
      </c>
      <c r="B197" t="str">
        <f>výpočty!$R$11</f>
        <v>Z mecjanizmem C3</v>
      </c>
      <c r="C197" t="str">
        <f>výpočty!$R$5</f>
        <v>Frame - nakładany z listwą maskującą</v>
      </c>
      <c r="D197" s="36" t="str">
        <f>výpočty!$W$6</f>
        <v>Aluminowa plastik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Pionowy (z góry na dół)</v>
      </c>
      <c r="B198" t="str">
        <f>výpočty!$R$11</f>
        <v>Z mecjanizmem C3</v>
      </c>
      <c r="C198" t="str">
        <f>výpočty!$R$5</f>
        <v>Frame - nakładany z listwą maskującą</v>
      </c>
      <c r="D198" s="36" t="str">
        <f>výpočty!$W$7</f>
        <v>Buk (E23)</v>
      </c>
      <c r="E198" t="s">
        <v>2131</v>
      </c>
      <c r="F198">
        <v>1</v>
      </c>
      <c r="G198" s="321" t="str">
        <f>Překlady!$A$145</f>
        <v>Koloru BUK w profilu E23 nie da się łączyć z prowadzeniem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Koloru BUK w profilu E23 nie da się łączyć z prowadzeniem FRAME.</v>
      </c>
      <c r="N198">
        <f t="shared" si="11"/>
        <v>1</v>
      </c>
    </row>
    <row r="199" spans="1:14" x14ac:dyDescent="0.2">
      <c r="A199" s="255" t="str">
        <f>výpočty!$R$14</f>
        <v>Pionowy (z góry na dół)</v>
      </c>
      <c r="B199" t="str">
        <f>výpočty!$R$11</f>
        <v>Z mecjanizmem C3</v>
      </c>
      <c r="C199" t="str">
        <f>výpočty!$R$5</f>
        <v>Frame - nakładany z listwą maskującą</v>
      </c>
      <c r="D199" s="36" t="str">
        <f>výpočty!$W$8</f>
        <v>Czereśnia (E23)</v>
      </c>
      <c r="E199" t="s">
        <v>2130</v>
      </c>
      <c r="F199">
        <v>1</v>
      </c>
      <c r="G199" t="str">
        <f>Překlady!$A$176</f>
        <v>Koloru Czereśnia w profilu E23 nie da się łączyć z prowadzeniem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Koloru Czereśnia w profilu E23 nie da się łączyć z prowadzeniem FRAME.</v>
      </c>
      <c r="N199">
        <f t="shared" si="11"/>
        <v>1</v>
      </c>
    </row>
    <row r="200" spans="1:14" x14ac:dyDescent="0.2">
      <c r="A200" s="255" t="str">
        <f>výpočty!$R$14</f>
        <v>Pionowy (z góry na dół)</v>
      </c>
      <c r="B200" t="str">
        <f>výpočty!$R$11</f>
        <v>Z mecjanizmem C3</v>
      </c>
      <c r="C200" t="str">
        <f>výpočty!$R$5</f>
        <v>Frame - nakładany z listwą maskującą</v>
      </c>
      <c r="D200" s="36" t="str">
        <f>výpočty!$W$9</f>
        <v>Klon (E23)</v>
      </c>
      <c r="E200" t="s">
        <v>2130</v>
      </c>
      <c r="F200">
        <v>1</v>
      </c>
      <c r="G200" t="str">
        <f>Překlady!$A$177</f>
        <v>Koloru Klon w profilu E23 nie da się łączyć z prowadzeniem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Koloru Klon w profilu E23 nie da się łączyć z prowadzeniem FRAME.</v>
      </c>
      <c r="N200">
        <f t="shared" si="11"/>
        <v>1</v>
      </c>
    </row>
    <row r="201" spans="1:14" x14ac:dyDescent="0.2">
      <c r="A201" s="255" t="str">
        <f>výpočty!$R$14</f>
        <v>Pionowy (z góry na dół)</v>
      </c>
      <c r="B201" t="str">
        <f>výpočty!$R$11</f>
        <v>Z mecjanizmem C3</v>
      </c>
      <c r="C201" t="str">
        <f>výpočty!$R$5</f>
        <v>Frame - nakładany z listwą maskującą</v>
      </c>
      <c r="D201" s="36" t="str">
        <f>výpočty!$W$10</f>
        <v>Brzoza (E23)</v>
      </c>
      <c r="E201" t="s">
        <v>2130</v>
      </c>
      <c r="F201">
        <v>1</v>
      </c>
      <c r="G201" t="str">
        <f>Překlady!$A$175</f>
        <v>Koloru Brzoza w profilu E23 nie da się łączyć z prowadzeniem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Koloru Brzoza w profilu E23 nie da się łączyć z prowadzeniem FRAME.</v>
      </c>
      <c r="N201">
        <f t="shared" si="11"/>
        <v>1</v>
      </c>
    </row>
    <row r="202" spans="1:14" x14ac:dyDescent="0.2">
      <c r="A202" s="255" t="str">
        <f>výpočty!$R$14</f>
        <v>Pionowy (z góry na dół)</v>
      </c>
      <c r="B202" t="str">
        <f>výpočty!$R$11</f>
        <v>Z mecjanizmem C3</v>
      </c>
      <c r="C202" t="str">
        <f>výpočty!$R$5</f>
        <v>Frame - nakładany z listwą maskującą</v>
      </c>
      <c r="D202" s="36" t="str">
        <f>výpočty!$W$11</f>
        <v>Czereśnia havana (E23)</v>
      </c>
      <c r="E202" t="s">
        <v>2131</v>
      </c>
      <c r="F202">
        <v>1</v>
      </c>
      <c r="G202" t="str">
        <f>Překlady!$A$170</f>
        <v>Koloru Czereśnia havana w profilu E23 nie da się łączyć z prowadzeniem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Koloru Czereśnia havana w profilu E23 nie da się łączyć z prowadzeniem FRAME.</v>
      </c>
      <c r="N202">
        <f t="shared" si="11"/>
        <v>1</v>
      </c>
    </row>
    <row r="203" spans="1:14" x14ac:dyDescent="0.2">
      <c r="A203" s="255" t="str">
        <f>výpočty!$R$14</f>
        <v>Pionowy (z góry na dół)</v>
      </c>
      <c r="B203" t="str">
        <f>výpočty!$R$11</f>
        <v>Z mecjanizmem C3</v>
      </c>
      <c r="C203" t="str">
        <f>výpočty!$R$5</f>
        <v>Frame - nakładany z listwą maskującą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Pionowy (z góry na dół)</v>
      </c>
      <c r="B204" t="str">
        <f>výpočty!$R$11</f>
        <v>Z mecjanizmem C3</v>
      </c>
      <c r="C204" t="str">
        <f>výpočty!$R$5</f>
        <v>Frame - nakładany z listwą maskującą</v>
      </c>
      <c r="D204" s="350" t="str">
        <f>výpočty!$W$14</f>
        <v>śnieżno biala mat (E9)</v>
      </c>
      <c r="E204" s="321" t="s">
        <v>2131</v>
      </c>
      <c r="F204" s="321">
        <v>1</v>
      </c>
      <c r="G204" s="321" t="str">
        <f>Překlady!$A$142</f>
        <v>Kolor śnieżno biały w profilu E9 można łączyć jedynie z prowadzeniem Classic i systemem nawijania do tyłu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Kolor śnieżno biały w profilu E9 można łączyć jedynie z prowadzeniem Classic i systemem nawijania do tyłu</v>
      </c>
      <c r="N204">
        <f t="shared" si="11"/>
        <v>1</v>
      </c>
    </row>
    <row r="205" spans="1:14" x14ac:dyDescent="0.2">
      <c r="A205" s="255" t="str">
        <f>výpočty!$R$14</f>
        <v>Pionowy (z góry na dół)</v>
      </c>
      <c r="B205" t="str">
        <f>výpočty!$R$11</f>
        <v>Z mecjanizmem C3</v>
      </c>
      <c r="C205" t="str">
        <f>výpočty!$R$5</f>
        <v>Frame - nakładany z listwą maskującą</v>
      </c>
      <c r="D205" s="36" t="str">
        <f>výpočty!$W$15</f>
        <v>Aluminowa plastik (E4)</v>
      </c>
      <c r="E205" s="321" t="s">
        <v>2131</v>
      </c>
      <c r="F205" s="321">
        <v>1</v>
      </c>
      <c r="G205" s="321" t="str">
        <f>Překlady!$A$143</f>
        <v>Kolor aluminium plastik w profilu E4 jest idealny do poziomych rozwiązań w kombinacji z prowadzeniem Classic z systemem nawijania do tyłu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Kolor aluminium plastik w profilu E4 jest idealny do poziomych rozwiązań w kombinacji z prowadzeniem Classic z systemem nawijania do tyłu</v>
      </c>
      <c r="N205">
        <f t="shared" si="11"/>
        <v>1</v>
      </c>
    </row>
    <row r="206" spans="1:14" x14ac:dyDescent="0.2">
      <c r="A206" s="255" t="str">
        <f>výpočty!$R$14</f>
        <v>Pionowy (z góry na dół)</v>
      </c>
      <c r="B206" t="str">
        <f>výpočty!$R$11</f>
        <v>Z mecjanizmem C3</v>
      </c>
      <c r="C206" t="str">
        <f>výpočty!$R$5</f>
        <v>Frame - nakładany z listwą maskującą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Pionowy (z góry na dół)</v>
      </c>
      <c r="B207" t="str">
        <f>výpočty!$R$11</f>
        <v>Z mecjanizmem C3</v>
      </c>
      <c r="C207" t="str">
        <f>výpočty!$R$5</f>
        <v>Frame - nakładany z listwą maskującą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Pionowy (z góry na dół)</v>
      </c>
      <c r="B208" t="str">
        <f>výpočty!$R$11</f>
        <v>Z mecjanizmem C3</v>
      </c>
      <c r="C208" t="str">
        <f>výpočty!$R$5</f>
        <v>Frame - nakładany z listwą maskującą</v>
      </c>
      <c r="D208" s="36" t="str">
        <f>výpočty!$W$19</f>
        <v>Aluminium szerokość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Pionowy (z góry na dół)</v>
      </c>
      <c r="B209" t="str">
        <f>výpočty!$R$11</f>
        <v>Z mecjanizmem C3</v>
      </c>
      <c r="C209" t="str">
        <f>výpočty!$R$5</f>
        <v>Frame - nakładany z listwą maskującą</v>
      </c>
      <c r="D209" s="27" t="str">
        <f>výpočty!$W$20</f>
        <v>Nierdz. szerokość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Pionowy (z góry na dół)</v>
      </c>
      <c r="B210" t="str">
        <f>výpočty!$R$11</f>
        <v>Z mecjanizmem C3</v>
      </c>
      <c r="C210" t="str">
        <f>výpočty!$R$6</f>
        <v>TOP - wpuszczany do przykręcenia metalowy z listwą maskującą</v>
      </c>
      <c r="D210" s="26" t="str">
        <f>výpočty!$W$3</f>
        <v>Czarny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Pionowy (z góry na dół)</v>
      </c>
      <c r="B211" t="str">
        <f>výpočty!$R$11</f>
        <v>Z mecjanizmem C3</v>
      </c>
      <c r="C211" t="str">
        <f>výpočty!$R$6</f>
        <v>TOP - wpuszczany do przykręcenia metalowy z listwą maskującą</v>
      </c>
      <c r="D211" s="36" t="str">
        <f>výpočty!$W$4</f>
        <v>Biały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Pionowy (z góry na dół)</v>
      </c>
      <c r="B212" t="str">
        <f>výpočty!$R$11</f>
        <v>Z mecjanizmem C3</v>
      </c>
      <c r="C212" t="str">
        <f>výpočty!$R$6</f>
        <v>TOP - wpuszczany do przykręcenia metalowy z listwą maskującą</v>
      </c>
      <c r="D212" s="36" t="str">
        <f>výpočty!$W$5</f>
        <v>Szary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Pionowy (z góry na dół)</v>
      </c>
      <c r="B213" t="str">
        <f>výpočty!$R$11</f>
        <v>Z mecjanizmem C3</v>
      </c>
      <c r="C213" t="str">
        <f>výpočty!$R$6</f>
        <v>TOP - wpuszczany do przykręcenia metalowy z listwą maskującą</v>
      </c>
      <c r="D213" s="36" t="str">
        <f>výpočty!$W$6</f>
        <v>Aluminowa plastik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Pionowy (z góry na dół)</v>
      </c>
      <c r="B214" t="str">
        <f>výpočty!$R$11</f>
        <v>Z mecjanizmem C3</v>
      </c>
      <c r="C214" t="str">
        <f>výpočty!$R$6</f>
        <v>TOP - wpuszczany do przykręcenia metalowy z listwą maskującą</v>
      </c>
      <c r="D214" s="36" t="str">
        <f>výpočty!$W$7</f>
        <v>Buk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Pionowy (z góry na dół)</v>
      </c>
      <c r="B215" t="str">
        <f>výpočty!$R$11</f>
        <v>Z mecjanizmem C3</v>
      </c>
      <c r="C215" t="str">
        <f>výpočty!$R$6</f>
        <v>TOP - wpuszczany do przykręcenia metalowy z listwą maskującą</v>
      </c>
      <c r="D215" s="36" t="str">
        <f>výpočty!$W$8</f>
        <v>Czereśnia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Pionowy (z góry na dół)</v>
      </c>
      <c r="B216" t="str">
        <f>výpočty!$R$11</f>
        <v>Z mecjanizmem C3</v>
      </c>
      <c r="C216" t="str">
        <f>výpočty!$R$6</f>
        <v>TOP - wpuszczany do przykręcenia metalowy z listwą maskującą</v>
      </c>
      <c r="D216" s="36" t="str">
        <f>výpočty!$W$9</f>
        <v>Klon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Pionowy (z góry na dół)</v>
      </c>
      <c r="B217" t="str">
        <f>výpočty!$R$11</f>
        <v>Z mecjanizmem C3</v>
      </c>
      <c r="C217" t="str">
        <f>výpočty!$R$6</f>
        <v>TOP - wpuszczany do przykręcenia metalowy z listwą maskującą</v>
      </c>
      <c r="D217" s="36" t="str">
        <f>výpočty!$W$10</f>
        <v>Brzoza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Pionowy (z góry na dół)</v>
      </c>
      <c r="B218" t="str">
        <f>výpočty!$R$11</f>
        <v>Z mecjanizmem C3</v>
      </c>
      <c r="C218" t="str">
        <f>výpočty!$R$6</f>
        <v>TOP - wpuszczany do przykręcenia metalowy z listwą maskującą</v>
      </c>
      <c r="D218" s="36" t="str">
        <f>výpočty!$W$11</f>
        <v>Czereśnia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Pionowy (z góry na dół)</v>
      </c>
      <c r="B219" t="str">
        <f>výpočty!$R$11</f>
        <v>Z mecjanizmem C3</v>
      </c>
      <c r="C219" t="str">
        <f>výpočty!$R$6</f>
        <v>TOP - wpuszczany do przykręcenia metalowy z listwą maskującą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Pionowy (z góry na dół)</v>
      </c>
      <c r="B220" t="str">
        <f>výpočty!$R$11</f>
        <v>Z mecjanizmem C3</v>
      </c>
      <c r="C220" t="str">
        <f>výpočty!$R$6</f>
        <v>TOP - wpuszczany do przykręcenia metalowy z listwą maskującą</v>
      </c>
      <c r="D220" s="350" t="str">
        <f>výpočty!$W$14</f>
        <v>śnieżno biala mat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Pionowy (z góry na dół)</v>
      </c>
      <c r="B221" t="str">
        <f>výpočty!$R$11</f>
        <v>Z mecjanizmem C3</v>
      </c>
      <c r="C221" t="str">
        <f>výpočty!$R$6</f>
        <v>TOP - wpuszczany do przykręcenia metalowy z listwą maskującą</v>
      </c>
      <c r="D221" s="36" t="str">
        <f>výpočty!$W$15</f>
        <v>Aluminowa plastik (E4)</v>
      </c>
      <c r="E221" s="321" t="s">
        <v>2131</v>
      </c>
      <c r="F221" s="321">
        <v>1</v>
      </c>
      <c r="G221" s="321" t="str">
        <f>Překlady!$A$143</f>
        <v>Kolor aluminium plastik w profilu E4 jest idealny do poziomych rozwiązań w kombinacji z prowadzeniem Classic z systemem nawijania do tyłu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Kolor aluminium plastik w profilu E4 jest idealny do poziomych rozwiązań w kombinacji z prowadzeniem Classic z systemem nawijania do tyłu</v>
      </c>
      <c r="N221">
        <f t="shared" si="11"/>
        <v>1</v>
      </c>
    </row>
    <row r="222" spans="1:14" x14ac:dyDescent="0.2">
      <c r="A222" s="255" t="str">
        <f>výpočty!$R$14</f>
        <v>Pionowy (z góry na dół)</v>
      </c>
      <c r="B222" t="str">
        <f>výpočty!$R$11</f>
        <v>Z mecjanizmem C3</v>
      </c>
      <c r="C222" t="str">
        <f>výpočty!$R$6</f>
        <v>TOP - wpuszczany do przykręcenia metalowy z listwą maskującą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Pionowy (z góry na dół)</v>
      </c>
      <c r="B223" t="str">
        <f>výpočty!$R$11</f>
        <v>Z mecjanizmem C3</v>
      </c>
      <c r="C223" t="str">
        <f>výpočty!$R$6</f>
        <v>TOP - wpuszczany do przykręcenia metalowy z listwą maskującą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Pionowy (z góry na dół)</v>
      </c>
      <c r="B224" t="str">
        <f>výpočty!$R$11</f>
        <v>Z mecjanizmem C3</v>
      </c>
      <c r="C224" t="str">
        <f>výpočty!$R$6</f>
        <v>TOP - wpuszczany do przykręcenia metalowy z listwą maskującą</v>
      </c>
      <c r="D224" s="36" t="str">
        <f>výpočty!$W$19</f>
        <v>Aluminium szerokość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Pionowy (z góry na dół)</v>
      </c>
      <c r="B225" t="str">
        <f>výpočty!$R$11</f>
        <v>Z mecjanizmem C3</v>
      </c>
      <c r="C225" t="str">
        <f>výpočty!$R$6</f>
        <v>TOP - wpuszczany do przykręcenia metalowy z listwą maskującą</v>
      </c>
      <c r="D225" s="27" t="str">
        <f>výpočty!$W$20</f>
        <v>Nierdz. szerokość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Pionowy (z góry na dół)</v>
      </c>
      <c r="B226" t="str">
        <f>výpočty!$R$11</f>
        <v>Z mecjanizmem C3</v>
      </c>
      <c r="C226" t="str">
        <f>výpočty!$R$7</f>
        <v>Nakładany z prowadzeniem metalic-line 29 mm i mechanimem C3</v>
      </c>
      <c r="D226" s="26" t="str">
        <f>výpočty!$W$3</f>
        <v>Czarny (E23)</v>
      </c>
      <c r="E226" t="s">
        <v>2131</v>
      </c>
      <c r="F226">
        <v>1</v>
      </c>
      <c r="G226" s="321" t="str">
        <f>Překlady!$A$151</f>
        <v>Nakładany system prowadzenia z metalic-line 29 mm i mechanizmem C3 zalecamy łaczyć tylko z profilem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Nakładany system prowadzenia z metalic-line 29 mm i mechanizmem C3 zalecamy łaczyć tylko z profilem Metallic Line.</v>
      </c>
      <c r="N226">
        <f t="shared" si="11"/>
        <v>1</v>
      </c>
    </row>
    <row r="227" spans="1:14" x14ac:dyDescent="0.2">
      <c r="A227" s="255" t="str">
        <f>výpočty!$R$14</f>
        <v>Pionowy (z góry na dół)</v>
      </c>
      <c r="B227" t="str">
        <f>výpočty!$R$11</f>
        <v>Z mecjanizmem C3</v>
      </c>
      <c r="C227" t="str">
        <f>výpočty!$R$7</f>
        <v>Nakładany z prowadzeniem metalic-line 29 mm i mechanimem C3</v>
      </c>
      <c r="D227" s="36" t="str">
        <f>výpočty!$W$4</f>
        <v>Biały (E23)</v>
      </c>
      <c r="E227" t="s">
        <v>2131</v>
      </c>
      <c r="F227">
        <v>1</v>
      </c>
      <c r="G227" s="321" t="str">
        <f>Překlady!$A$151</f>
        <v>Nakładany system prowadzenia z metalic-line 29 mm i mechanizmem C3 zalecamy łaczyć tylko z profilem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Nakładany system prowadzenia z metalic-line 29 mm i mechanizmem C3 zalecamy łaczyć tylko z profilem Metallic Line.</v>
      </c>
      <c r="N227">
        <f t="shared" si="11"/>
        <v>1</v>
      </c>
    </row>
    <row r="228" spans="1:14" x14ac:dyDescent="0.2">
      <c r="A228" s="255" t="str">
        <f>výpočty!$R$14</f>
        <v>Pionowy (z góry na dół)</v>
      </c>
      <c r="B228" t="str">
        <f>výpočty!$R$11</f>
        <v>Z mecjanizmem C3</v>
      </c>
      <c r="C228" t="str">
        <f>výpočty!$R$7</f>
        <v>Nakładany z prowadzeniem metalic-line 29 mm i mechanimem C3</v>
      </c>
      <c r="D228" s="36" t="str">
        <f>výpočty!$W$5</f>
        <v>Szary (E23)</v>
      </c>
      <c r="E228" t="s">
        <v>2131</v>
      </c>
      <c r="F228">
        <v>1</v>
      </c>
      <c r="G228" s="321" t="str">
        <f>Překlady!$A$151</f>
        <v>Nakładany system prowadzenia z metalic-line 29 mm i mechanizmem C3 zalecamy łaczyć tylko z profilem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Nakładany system prowadzenia z metalic-line 29 mm i mechanizmem C3 zalecamy łaczyć tylko z profilem Metallic Line.</v>
      </c>
      <c r="N228">
        <f t="shared" si="11"/>
        <v>1</v>
      </c>
    </row>
    <row r="229" spans="1:14" x14ac:dyDescent="0.2">
      <c r="A229" s="255" t="str">
        <f>výpočty!$R$14</f>
        <v>Pionowy (z góry na dół)</v>
      </c>
      <c r="B229" t="str">
        <f>výpočty!$R$11</f>
        <v>Z mecjanizmem C3</v>
      </c>
      <c r="C229" t="str">
        <f>výpočty!$R$7</f>
        <v>Nakładany z prowadzeniem metalic-line 29 mm i mechanimem C3</v>
      </c>
      <c r="D229" s="36" t="str">
        <f>výpočty!$W$6</f>
        <v>Aluminowa plastik (E23)</v>
      </c>
      <c r="E229" t="s">
        <v>2131</v>
      </c>
      <c r="F229">
        <v>1</v>
      </c>
      <c r="G229" s="321" t="str">
        <f>Překlady!$A$151</f>
        <v>Nakładany system prowadzenia z metalic-line 29 mm i mechanizmem C3 zalecamy łaczyć tylko z profilem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Nakładany system prowadzenia z metalic-line 29 mm i mechanizmem C3 zalecamy łaczyć tylko z profilem Metallic Line.</v>
      </c>
      <c r="N229">
        <f t="shared" si="11"/>
        <v>1</v>
      </c>
    </row>
    <row r="230" spans="1:14" x14ac:dyDescent="0.2">
      <c r="A230" s="255" t="str">
        <f>výpočty!$R$14</f>
        <v>Pionowy (z góry na dół)</v>
      </c>
      <c r="B230" t="str">
        <f>výpočty!$R$11</f>
        <v>Z mecjanizmem C3</v>
      </c>
      <c r="C230" t="str">
        <f>výpočty!$R$7</f>
        <v>Nakładany z prowadzeniem metalic-line 29 mm i mechanimem C3</v>
      </c>
      <c r="D230" s="36" t="str">
        <f>výpočty!$W$7</f>
        <v>Buk (E23)</v>
      </c>
      <c r="E230" t="s">
        <v>2131</v>
      </c>
      <c r="F230">
        <v>1</v>
      </c>
      <c r="G230" s="321" t="str">
        <f>Překlady!$A$151</f>
        <v>Nakładany system prowadzenia z metalic-line 29 mm i mechanizmem C3 zalecamy łaczyć tylko z profilem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Nakładany system prowadzenia z metalic-line 29 mm i mechanizmem C3 zalecamy łaczyć tylko z profilem Metallic Line.</v>
      </c>
      <c r="N230">
        <f t="shared" si="11"/>
        <v>1</v>
      </c>
    </row>
    <row r="231" spans="1:14" x14ac:dyDescent="0.2">
      <c r="A231" s="255" t="str">
        <f>výpočty!$R$14</f>
        <v>Pionowy (z góry na dół)</v>
      </c>
      <c r="B231" t="str">
        <f>výpočty!$R$11</f>
        <v>Z mecjanizmem C3</v>
      </c>
      <c r="C231" t="str">
        <f>výpočty!$R$7</f>
        <v>Nakładany z prowadzeniem metalic-line 29 mm i mechanimem C3</v>
      </c>
      <c r="D231" s="36" t="str">
        <f>výpočty!$W$8</f>
        <v>Czereśnia (E23)</v>
      </c>
      <c r="E231" t="s">
        <v>2131</v>
      </c>
      <c r="F231">
        <v>1</v>
      </c>
      <c r="G231" s="321" t="str">
        <f>Překlady!$A$151</f>
        <v>Nakładany system prowadzenia z metalic-line 29 mm i mechanizmem C3 zalecamy łaczyć tylko z profilem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Nakładany system prowadzenia z metalic-line 29 mm i mechanizmem C3 zalecamy łaczyć tylko z profilem Metallic Line.</v>
      </c>
      <c r="N231">
        <f t="shared" si="11"/>
        <v>1</v>
      </c>
    </row>
    <row r="232" spans="1:14" x14ac:dyDescent="0.2">
      <c r="A232" s="255" t="str">
        <f>výpočty!$R$14</f>
        <v>Pionowy (z góry na dół)</v>
      </c>
      <c r="B232" t="str">
        <f>výpočty!$R$11</f>
        <v>Z mecjanizmem C3</v>
      </c>
      <c r="C232" t="str">
        <f>výpočty!$R$7</f>
        <v>Nakładany z prowadzeniem metalic-line 29 mm i mechanimem C3</v>
      </c>
      <c r="D232" s="36" t="str">
        <f>výpočty!$W$9</f>
        <v>Klon (E23)</v>
      </c>
      <c r="E232" t="s">
        <v>2131</v>
      </c>
      <c r="F232">
        <v>1</v>
      </c>
      <c r="G232" s="321" t="str">
        <f>Překlady!$A$151</f>
        <v>Nakładany system prowadzenia z metalic-line 29 mm i mechanizmem C3 zalecamy łaczyć tylko z profilem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Nakładany system prowadzenia z metalic-line 29 mm i mechanizmem C3 zalecamy łaczyć tylko z profilem Metallic Line.</v>
      </c>
      <c r="N232">
        <f t="shared" si="11"/>
        <v>1</v>
      </c>
    </row>
    <row r="233" spans="1:14" x14ac:dyDescent="0.2">
      <c r="A233" s="255" t="str">
        <f>výpočty!$R$14</f>
        <v>Pionowy (z góry na dół)</v>
      </c>
      <c r="B233" t="str">
        <f>výpočty!$R$11</f>
        <v>Z mecjanizmem C3</v>
      </c>
      <c r="C233" t="str">
        <f>výpočty!$R$7</f>
        <v>Nakładany z prowadzeniem metalic-line 29 mm i mechanimem C3</v>
      </c>
      <c r="D233" s="36" t="str">
        <f>výpočty!$W$10</f>
        <v>Brzoza (E23)</v>
      </c>
      <c r="E233" t="s">
        <v>2131</v>
      </c>
      <c r="F233">
        <v>1</v>
      </c>
      <c r="G233" s="321" t="str">
        <f>Překlady!$A$151</f>
        <v>Nakładany system prowadzenia z metalic-line 29 mm i mechanizmem C3 zalecamy łaczyć tylko z profilem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Nakładany system prowadzenia z metalic-line 29 mm i mechanizmem C3 zalecamy łaczyć tylko z profilem Metallic Line.</v>
      </c>
      <c r="N233">
        <f t="shared" si="11"/>
        <v>1</v>
      </c>
    </row>
    <row r="234" spans="1:14" x14ac:dyDescent="0.2">
      <c r="A234" s="255" t="str">
        <f>výpočty!$R$14</f>
        <v>Pionowy (z góry na dół)</v>
      </c>
      <c r="B234" t="str">
        <f>výpočty!$R$11</f>
        <v>Z mecjanizmem C3</v>
      </c>
      <c r="C234" t="str">
        <f>výpočty!$R$7</f>
        <v>Nakładany z prowadzeniem metalic-line 29 mm i mechanimem C3</v>
      </c>
      <c r="D234" s="36" t="str">
        <f>výpočty!$W$11</f>
        <v>Czereśnia havana (E23)</v>
      </c>
      <c r="E234" t="s">
        <v>2131</v>
      </c>
      <c r="F234">
        <v>1</v>
      </c>
      <c r="G234" s="321" t="str">
        <f>Překlady!$A$151</f>
        <v>Nakładany system prowadzenia z metalic-line 29 mm i mechanizmem C3 zalecamy łaczyć tylko z profilem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Nakładany system prowadzenia z metalic-line 29 mm i mechanizmem C3 zalecamy łaczyć tylko z profilem Metallic Line.</v>
      </c>
      <c r="N234">
        <f t="shared" si="11"/>
        <v>1</v>
      </c>
    </row>
    <row r="235" spans="1:14" x14ac:dyDescent="0.2">
      <c r="A235" s="255" t="str">
        <f>výpočty!$R$14</f>
        <v>Pionowy (z góry na dół)</v>
      </c>
      <c r="B235" t="str">
        <f>výpočty!$R$11</f>
        <v>Z mecjanizmem C3</v>
      </c>
      <c r="C235" t="str">
        <f>výpočty!$R$7</f>
        <v>Nakładany z prowadzeniem metalic-line 29 mm i mechanimem C3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Nakładany system prowadzenia z metalic-line 29 mm i mechanizmem C3 zalecamy łaczyć tylko z profilem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Nakładany system prowadzenia z metalic-line 29 mm i mechanizmem C3 zalecamy łaczyć tylko z profilem Metallic Line.</v>
      </c>
      <c r="N235">
        <f t="shared" si="11"/>
        <v>1</v>
      </c>
    </row>
    <row r="236" spans="1:14" x14ac:dyDescent="0.2">
      <c r="A236" s="255" t="str">
        <f>výpočty!$R$14</f>
        <v>Pionowy (z góry na dół)</v>
      </c>
      <c r="B236" t="str">
        <f>výpočty!$R$11</f>
        <v>Z mecjanizmem C3</v>
      </c>
      <c r="C236" t="str">
        <f>výpočty!$R$7</f>
        <v>Nakładany z prowadzeniem metalic-line 29 mm i mechanimem C3</v>
      </c>
      <c r="D236" s="36" t="str">
        <f>výpočty!$W$14</f>
        <v>śnieżno biala mat (E9)</v>
      </c>
      <c r="E236" t="s">
        <v>2131</v>
      </c>
      <c r="F236">
        <v>1</v>
      </c>
      <c r="G236" s="321" t="str">
        <f>Překlady!$A$142</f>
        <v>Kolor śnieżno biały w profilu E9 można łączyć jedynie z prowadzeniem Classic i systemem nawijania do tyłu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Kolor śnieżno biały w profilu E9 można łączyć jedynie z prowadzeniem Classic i systemem nawijania do tyłu</v>
      </c>
      <c r="N236">
        <f t="shared" si="11"/>
        <v>1</v>
      </c>
    </row>
    <row r="237" spans="1:14" x14ac:dyDescent="0.2">
      <c r="A237" s="255" t="str">
        <f>výpočty!$R$14</f>
        <v>Pionowy (z góry na dół)</v>
      </c>
      <c r="B237" t="str">
        <f>výpočty!$R$11</f>
        <v>Z mecjanizmem C3</v>
      </c>
      <c r="C237" t="str">
        <f>výpočty!$R$7</f>
        <v>Nakładany z prowadzeniem metalic-line 29 mm i mechanimem C3</v>
      </c>
      <c r="D237" s="36" t="str">
        <f>výpočty!$W$15</f>
        <v>Aluminowa plastik (E4)</v>
      </c>
      <c r="E237" t="s">
        <v>2131</v>
      </c>
      <c r="F237">
        <v>1</v>
      </c>
      <c r="G237" s="321" t="str">
        <f>Překlady!$A$143</f>
        <v>Kolor aluminium plastik w profilu E4 jest idealny do poziomych rozwiązań w kombinacji z prowadzeniem Classic z systemem nawijania do tyłu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Kolor aluminium plastik w profilu E4 jest idealny do poziomych rozwiązań w kombinacji z prowadzeniem Classic z systemem nawijania do tyłu</v>
      </c>
      <c r="N237">
        <f t="shared" si="11"/>
        <v>1</v>
      </c>
    </row>
    <row r="238" spans="1:14" x14ac:dyDescent="0.2">
      <c r="A238" s="255" t="str">
        <f>výpočty!$R$14</f>
        <v>Pionowy (z góry na dół)</v>
      </c>
      <c r="B238" t="str">
        <f>výpočty!$R$11</f>
        <v>Z mecjanizmem C3</v>
      </c>
      <c r="C238" t="str">
        <f>výpočty!$R$7</f>
        <v>Nakładany z prowadzeniem metalic-line 29 mm i mechanimem C3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Pionowy (z góry na dół)</v>
      </c>
      <c r="B239" t="str">
        <f>výpočty!$R$11</f>
        <v>Z mecjanizmem C3</v>
      </c>
      <c r="C239" t="str">
        <f>výpočty!$R$7</f>
        <v>Nakładany z prowadzeniem metalic-line 29 mm i mechanimem C3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Pionowy (z góry na dół)</v>
      </c>
      <c r="B240" t="str">
        <f>výpočty!$R$11</f>
        <v>Z mecjanizmem C3</v>
      </c>
      <c r="C240" t="str">
        <f>výpočty!$R$7</f>
        <v>Nakładany z prowadzeniem metalic-line 29 mm i mechanimem C3</v>
      </c>
      <c r="D240" s="36" t="str">
        <f>výpočty!$W$19</f>
        <v>Aluminium szerokość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Pionowy (z góry na dół)</v>
      </c>
      <c r="B241" t="str">
        <f>výpočty!$R$11</f>
        <v>Z mecjanizmem C3</v>
      </c>
      <c r="C241" t="str">
        <f>výpočty!$R$7</f>
        <v>Nakładany z prowadzeniem metalic-line 29 mm i mechanimem C3</v>
      </c>
      <c r="D241" s="27" t="str">
        <f>výpočty!$W$20</f>
        <v>Nierdz. szerokość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Poziomy (z lewej strony na prawą)</v>
      </c>
      <c r="B242" s="256" t="str">
        <f>výpočty!$R$9</f>
        <v>Do tyłu</v>
      </c>
      <c r="C242" t="str">
        <f>výpočty!$R$3</f>
        <v>TOP Basic - wpuszczany do przykręcenia plastikowy</v>
      </c>
      <c r="D242" s="26" t="str">
        <f>výpočty!$W$3</f>
        <v>Czarny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Poziomy (z lewej strony na prawą)</v>
      </c>
      <c r="B243" s="256" t="str">
        <f>výpočty!$R$9</f>
        <v>Do tyłu</v>
      </c>
      <c r="C243" t="str">
        <f>výpočty!$R$3</f>
        <v>TOP Basic - wpuszczany do przykręcenia plastikowy</v>
      </c>
      <c r="D243" s="36" t="str">
        <f>výpočty!$W$4</f>
        <v>Biały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Poziomy (z lewej strony na prawą)</v>
      </c>
      <c r="B244" s="256" t="str">
        <f>výpočty!$R$9</f>
        <v>Do tyłu</v>
      </c>
      <c r="C244" t="str">
        <f>výpočty!$R$3</f>
        <v>TOP Basic - wpuszczany do przykręcenia plastikowy</v>
      </c>
      <c r="D244" s="36" t="str">
        <f>výpočty!$W$5</f>
        <v>Szary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Poziomy (z lewej strony na prawą)</v>
      </c>
      <c r="B245" s="256" t="str">
        <f>výpočty!$R$9</f>
        <v>Do tyłu</v>
      </c>
      <c r="C245" t="str">
        <f>výpočty!$R$3</f>
        <v>TOP Basic - wpuszczany do przykręcenia plastikowy</v>
      </c>
      <c r="D245" s="36" t="str">
        <f>výpočty!$W$6</f>
        <v>Aluminowa plastik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Poziomy (z lewej strony na prawą)</v>
      </c>
      <c r="B246" s="256" t="str">
        <f>výpočty!$R$9</f>
        <v>Do tyłu</v>
      </c>
      <c r="C246" t="str">
        <f>výpočty!$R$3</f>
        <v>TOP Basic - wpuszczany do przykręcenia plastikowy</v>
      </c>
      <c r="D246" s="36" t="str">
        <f>výpočty!$W$7</f>
        <v>Buk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Poziomy (z lewej strony na prawą)</v>
      </c>
      <c r="B247" s="256" t="str">
        <f>výpočty!$R$9</f>
        <v>Do tyłu</v>
      </c>
      <c r="C247" t="str">
        <f>výpočty!$R$3</f>
        <v>TOP Basic - wpuszczany do przykręcenia plastikowy</v>
      </c>
      <c r="D247" s="36" t="str">
        <f>výpočty!$W$8</f>
        <v>Czereśnia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Poziomy (z lewej strony na prawą)</v>
      </c>
      <c r="B248" s="256" t="str">
        <f>výpočty!$R$9</f>
        <v>Do tyłu</v>
      </c>
      <c r="C248" t="str">
        <f>výpočty!$R$3</f>
        <v>TOP Basic - wpuszczany do przykręcenia plastikowy</v>
      </c>
      <c r="D248" s="36" t="str">
        <f>výpočty!$W$9</f>
        <v>Klon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Poziomy (z lewej strony na prawą)</v>
      </c>
      <c r="B249" s="256" t="str">
        <f>výpočty!$R$9</f>
        <v>Do tyłu</v>
      </c>
      <c r="C249" t="str">
        <f>výpočty!$R$3</f>
        <v>TOP Basic - wpuszczany do przykręcenia plastikowy</v>
      </c>
      <c r="D249" s="36" t="str">
        <f>výpočty!$W$10</f>
        <v>Brzoza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Poziomy (z lewej strony na prawą)</v>
      </c>
      <c r="B250" s="256" t="str">
        <f>výpočty!$R$9</f>
        <v>Do tyłu</v>
      </c>
      <c r="C250" t="str">
        <f>výpočty!$R$3</f>
        <v>TOP Basic - wpuszczany do przykręcenia plastikowy</v>
      </c>
      <c r="D250" s="36" t="str">
        <f>výpočty!$W$11</f>
        <v>Czereśnia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Poziomy (z lewej strony na prawą)</v>
      </c>
      <c r="B251" s="256" t="str">
        <f>výpočty!$R$9</f>
        <v>Do tyłu</v>
      </c>
      <c r="C251" t="str">
        <f>výpočty!$R$3</f>
        <v>TOP Basic - wpuszczany do przykręcenia plastikowy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Poziomy (z lewej strony na prawą)</v>
      </c>
      <c r="B252" s="256" t="str">
        <f>výpočty!$R$9</f>
        <v>Do tyłu</v>
      </c>
      <c r="C252" t="str">
        <f>výpočty!$R$3</f>
        <v>TOP Basic - wpuszczany do przykręcenia plastikowy</v>
      </c>
      <c r="D252" s="36" t="str">
        <f>výpočty!$W$14</f>
        <v>śnieżno biala mat (E9)</v>
      </c>
      <c r="E252" s="321" t="s">
        <v>2131</v>
      </c>
      <c r="F252" s="321">
        <v>1</v>
      </c>
      <c r="G252" s="321" t="str">
        <f>Překlady!$A$142</f>
        <v>Kolor śnieżno biały w profilu E9 można łączyć jedynie z prowadzeniem Classic i systemem nawijania do tyłu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Kolor śnieżno biały w profilu E9 można łączyć jedynie z prowadzeniem Classic i systemem nawijania do tyłu</v>
      </c>
      <c r="N252">
        <f t="shared" si="11"/>
        <v>1</v>
      </c>
    </row>
    <row r="253" spans="1:14" x14ac:dyDescent="0.2">
      <c r="A253" s="255" t="str">
        <f>výpočty!$R$15</f>
        <v>Poziomy (z lewej strony na prawą)</v>
      </c>
      <c r="B253" s="256" t="str">
        <f>výpočty!$R$9</f>
        <v>Do tyłu</v>
      </c>
      <c r="C253" t="str">
        <f>výpočty!$R$3</f>
        <v>TOP Basic - wpuszczany do przykręcenia plastikowy</v>
      </c>
      <c r="D253" s="36" t="str">
        <f>výpočty!$W$15</f>
        <v>Aluminowa plastik (E4)</v>
      </c>
      <c r="E253" t="s">
        <v>2131</v>
      </c>
      <c r="F253">
        <v>1</v>
      </c>
      <c r="G253" s="321" t="str">
        <f>Překlady!$A$143</f>
        <v>Kolor aluminium plastik w profilu E4 jest idealny do poziomych rozwiązań w kombinacji z prowadzeniem Classic z systemem nawijania do tyłu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Kolor aluminium plastik w profilu E4 jest idealny do poziomych rozwiązań w kombinacji z prowadzeniem Classic z systemem nawijania do tyłu</v>
      </c>
      <c r="N253">
        <f t="shared" si="11"/>
        <v>1</v>
      </c>
    </row>
    <row r="254" spans="1:14" x14ac:dyDescent="0.2">
      <c r="A254" s="255" t="str">
        <f>výpočty!$R$15</f>
        <v>Poziomy (z lewej strony na prawą)</v>
      </c>
      <c r="B254" s="256" t="str">
        <f>výpočty!$R$9</f>
        <v>Do tyłu</v>
      </c>
      <c r="C254" t="str">
        <f>výpočty!$R$3</f>
        <v>TOP Basic - wpuszczany do przykręcenia plastikowy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Systemu prowadzenia TOP BASIC nie da się zastosować z roletowym profilem Metallic line. Należy wybrać wersję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Systemu prowadzenia TOP BASIC nie da się zastosować z roletowym profilem Metallic line. Należy wybrać wersję TOP.</v>
      </c>
      <c r="N254">
        <f t="shared" si="11"/>
        <v>1</v>
      </c>
    </row>
    <row r="255" spans="1:14" x14ac:dyDescent="0.2">
      <c r="A255" s="255" t="str">
        <f>výpočty!$R$15</f>
        <v>Poziomy (z lewej strony na prawą)</v>
      </c>
      <c r="B255" s="256" t="str">
        <f>výpočty!$R$9</f>
        <v>Do tyłu</v>
      </c>
      <c r="C255" t="str">
        <f>výpočty!$R$3</f>
        <v>TOP Basic - wpuszczany do przykręcenia plastikowy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Systemu prowadzenia TOP BASIC nie da się zastosować z roletowym profilem Metallic line. Należy wybrać wersję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Systemu prowadzenia TOP BASIC nie da się zastosować z roletowym profilem Metallic line. Należy wybrać wersję TOP.</v>
      </c>
      <c r="N255">
        <f t="shared" si="11"/>
        <v>1</v>
      </c>
    </row>
    <row r="256" spans="1:14" x14ac:dyDescent="0.2">
      <c r="A256" s="255" t="str">
        <f>výpočty!$R$15</f>
        <v>Poziomy (z lewej strony na prawą)</v>
      </c>
      <c r="B256" s="256" t="str">
        <f>výpočty!$R$9</f>
        <v>Do tyłu</v>
      </c>
      <c r="C256" t="str">
        <f>výpočty!$R$3</f>
        <v>TOP Basic - wpuszczany do przykręcenia plastikowy</v>
      </c>
      <c r="D256" s="36" t="str">
        <f>výpočty!$W$19</f>
        <v>Aluminium szerokość 25 mm (metallic-line)</v>
      </c>
      <c r="E256" t="s">
        <v>2131</v>
      </c>
      <c r="F256">
        <v>1</v>
      </c>
      <c r="G256" s="321" t="str">
        <f>Překlady!$A$144</f>
        <v>Systemu prowadzenia TOP BASIC nie da się zastosować z roletowym profilem Metallic line. Należy wybrać wersję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Systemu prowadzenia TOP BASIC nie da się zastosować z roletowym profilem Metallic line. Należy wybrać wersję TOP.</v>
      </c>
      <c r="N256">
        <f t="shared" si="11"/>
        <v>1</v>
      </c>
    </row>
    <row r="257" spans="1:14" ht="13.5" thickBot="1" x14ac:dyDescent="0.25">
      <c r="A257" s="255" t="str">
        <f>výpočty!$R$15</f>
        <v>Poziomy (z lewej strony na prawą)</v>
      </c>
      <c r="B257" s="256" t="str">
        <f>výpočty!$R$9</f>
        <v>Do tyłu</v>
      </c>
      <c r="C257" t="str">
        <f>výpočty!$R$3</f>
        <v>TOP Basic - wpuszczany do przykręcenia plastikowy</v>
      </c>
      <c r="D257" s="27" t="str">
        <f>výpočty!$W$20</f>
        <v>Nierdz. szerokość 25 mm (metallic-line)</v>
      </c>
      <c r="E257" t="s">
        <v>2131</v>
      </c>
      <c r="F257">
        <v>1</v>
      </c>
      <c r="G257" s="321" t="str">
        <f>Překlady!$A$144</f>
        <v>Systemu prowadzenia TOP BASIC nie da się zastosować z roletowym profilem Metallic line. Należy wybrać wersję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Systemu prowadzenia TOP BASIC nie da się zastosować z roletowym profilem Metallic line. Należy wybrać wersję TOP.</v>
      </c>
      <c r="N257">
        <f t="shared" si="11"/>
        <v>1</v>
      </c>
    </row>
    <row r="258" spans="1:14" x14ac:dyDescent="0.2">
      <c r="A258" s="255" t="str">
        <f>výpočty!$R$15</f>
        <v>Poziomy (z lewej strony na prawą)</v>
      </c>
      <c r="B258" s="256" t="str">
        <f>výpočty!$R$9</f>
        <v>Do tyłu</v>
      </c>
      <c r="C258" t="str">
        <f>výpočty!$R$4</f>
        <v>Classic - wpuszczany do zafrezowania</v>
      </c>
      <c r="D258" s="26" t="str">
        <f>výpočty!$W$3</f>
        <v>Czarny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Poziomy (z lewej strony na prawą)</v>
      </c>
      <c r="B259" s="256" t="str">
        <f>výpočty!$R$9</f>
        <v>Do tyłu</v>
      </c>
      <c r="C259" t="str">
        <f>výpočty!$R$4</f>
        <v>Classic - wpuszczany do zafrezowania</v>
      </c>
      <c r="D259" s="36" t="str">
        <f>výpočty!$W$4</f>
        <v>Biały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Poziomy (z lewej strony na prawą)</v>
      </c>
      <c r="B260" s="256" t="str">
        <f>výpočty!$R$9</f>
        <v>Do tyłu</v>
      </c>
      <c r="C260" t="str">
        <f>výpočty!$R$4</f>
        <v>Classic - wpuszczany do zafrezowania</v>
      </c>
      <c r="D260" s="36" t="str">
        <f>výpočty!$W$5</f>
        <v>Szary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Poziomy (z lewej strony na prawą)</v>
      </c>
      <c r="B261" s="256" t="str">
        <f>výpočty!$R$9</f>
        <v>Do tyłu</v>
      </c>
      <c r="C261" t="str">
        <f>výpočty!$R$4</f>
        <v>Classic - wpuszczany do zafrezowania</v>
      </c>
      <c r="D261" s="36" t="str">
        <f>výpočty!$W$6</f>
        <v>Aluminowa plastik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Poziomy (z lewej strony na prawą)</v>
      </c>
      <c r="B262" s="256" t="str">
        <f>výpočty!$R$9</f>
        <v>Do tyłu</v>
      </c>
      <c r="C262" t="str">
        <f>výpočty!$R$4</f>
        <v>Classic - wpuszczany do zafrezowania</v>
      </c>
      <c r="D262" s="36" t="str">
        <f>výpočty!$W$7</f>
        <v>Buk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Poziomy (z lewej strony na prawą)</v>
      </c>
      <c r="B263" s="256" t="str">
        <f>výpočty!$R$9</f>
        <v>Do tyłu</v>
      </c>
      <c r="C263" t="str">
        <f>výpočty!$R$4</f>
        <v>Classic - wpuszczany do zafrezowania</v>
      </c>
      <c r="D263" s="36" t="str">
        <f>výpočty!$W$8</f>
        <v>Czereśnia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Poziomy (z lewej strony na prawą)</v>
      </c>
      <c r="B264" s="256" t="str">
        <f>výpočty!$R$9</f>
        <v>Do tyłu</v>
      </c>
      <c r="C264" t="str">
        <f>výpočty!$R$4</f>
        <v>Classic - wpuszczany do zafrezowania</v>
      </c>
      <c r="D264" s="36" t="str">
        <f>výpočty!$W$9</f>
        <v>Klon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Poziomy (z lewej strony na prawą)</v>
      </c>
      <c r="B265" s="256" t="str">
        <f>výpočty!$R$9</f>
        <v>Do tyłu</v>
      </c>
      <c r="C265" t="str">
        <f>výpočty!$R$4</f>
        <v>Classic - wpuszczany do zafrezowania</v>
      </c>
      <c r="D265" s="36" t="str">
        <f>výpočty!$W$10</f>
        <v>Brzoza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Poziomy (z lewej strony na prawą)</v>
      </c>
      <c r="B266" s="256" t="str">
        <f>výpočty!$R$9</f>
        <v>Do tyłu</v>
      </c>
      <c r="C266" t="str">
        <f>výpočty!$R$4</f>
        <v>Classic - wpuszczany do zafrezowania</v>
      </c>
      <c r="D266" s="36" t="str">
        <f>výpočty!$W$11</f>
        <v>Czereśnia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Poziomy (z lewej strony na prawą)</v>
      </c>
      <c r="B267" s="256" t="str">
        <f>výpočty!$R$9</f>
        <v>Do tyłu</v>
      </c>
      <c r="C267" t="str">
        <f>výpočty!$R$4</f>
        <v>Classic - wpuszczany do zafrezowania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Poziomy (z lewej strony na prawą)</v>
      </c>
      <c r="B268" s="256" t="str">
        <f>výpočty!$R$9</f>
        <v>Do tyłu</v>
      </c>
      <c r="C268" t="str">
        <f>výpočty!$R$4</f>
        <v>Classic - wpuszczany do zafrezowania</v>
      </c>
      <c r="D268" s="350" t="str">
        <f>výpočty!$W$14</f>
        <v>śnieżno biala mat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Poziomy (z lewej strony na prawą)</v>
      </c>
      <c r="B269" s="256" t="str">
        <f>výpočty!$R$9</f>
        <v>Do tyłu</v>
      </c>
      <c r="C269" t="str">
        <f>výpočty!$R$4</f>
        <v>Classic - wpuszczany do zafrezowania</v>
      </c>
      <c r="D269" s="36" t="str">
        <f>výpočty!$W$15</f>
        <v>Aluminowa plastik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Poziomy (z lewej strony na prawą)</v>
      </c>
      <c r="B270" s="256" t="str">
        <f>výpočty!$R$9</f>
        <v>Do tyłu</v>
      </c>
      <c r="C270" t="str">
        <f>výpočty!$R$4</f>
        <v>Classic - wpuszczany do zafrezowania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Poziomy (z lewej strony na prawą)</v>
      </c>
      <c r="B271" s="256" t="str">
        <f>výpočty!$R$9</f>
        <v>Do tyłu</v>
      </c>
      <c r="C271" t="str">
        <f>výpočty!$R$4</f>
        <v>Classic - wpuszczany do zafrezowania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Poziomy (z lewej strony na prawą)</v>
      </c>
      <c r="B272" s="256" t="str">
        <f>výpočty!$R$9</f>
        <v>Do tyłu</v>
      </c>
      <c r="C272" t="str">
        <f>výpočty!$R$4</f>
        <v>Classic - wpuszczany do zafrezowania</v>
      </c>
      <c r="D272" s="36" t="str">
        <f>výpočty!$W$19</f>
        <v>Aluminium szerokość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Poziomy (z lewej strony na prawą)</v>
      </c>
      <c r="B273" s="256" t="str">
        <f>výpočty!$R$9</f>
        <v>Do tyłu</v>
      </c>
      <c r="C273" t="str">
        <f>výpočty!$R$4</f>
        <v>Classic - wpuszczany do zafrezowania</v>
      </c>
      <c r="D273" s="27" t="str">
        <f>výpočty!$W$20</f>
        <v>Nierdz. szerokość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Poziomy (z lewej strony na prawą)</v>
      </c>
      <c r="B274" s="256" t="str">
        <f>výpočty!$R$9</f>
        <v>Do tyłu</v>
      </c>
      <c r="C274" t="str">
        <f>výpočty!$R$5</f>
        <v>Frame - nakładany z listwą maskującą</v>
      </c>
      <c r="D274" s="26" t="str">
        <f>výpočty!$W$3</f>
        <v>Czarny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Poziomy (z lewej strony na prawą)</v>
      </c>
      <c r="B275" s="256" t="str">
        <f>výpočty!$R$9</f>
        <v>Do tyłu</v>
      </c>
      <c r="C275" t="str">
        <f>výpočty!$R$5</f>
        <v>Frame - nakładany z listwą maskującą</v>
      </c>
      <c r="D275" s="36" t="str">
        <f>výpočty!$W$4</f>
        <v>Biały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Poziomy (z lewej strony na prawą)</v>
      </c>
      <c r="B276" s="256" t="str">
        <f>výpočty!$R$9</f>
        <v>Do tyłu</v>
      </c>
      <c r="C276" t="str">
        <f>výpočty!$R$5</f>
        <v>Frame - nakładany z listwą maskującą</v>
      </c>
      <c r="D276" s="36" t="str">
        <f>výpočty!$W$5</f>
        <v>Szary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Poziomy (z lewej strony na prawą)</v>
      </c>
      <c r="B277" s="256" t="str">
        <f>výpočty!$R$9</f>
        <v>Do tyłu</v>
      </c>
      <c r="C277" t="str">
        <f>výpočty!$R$5</f>
        <v>Frame - nakładany z listwą maskującą</v>
      </c>
      <c r="D277" s="36" t="str">
        <f>výpočty!$W$6</f>
        <v>Aluminowa plastik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Poziomy (z lewej strony na prawą)</v>
      </c>
      <c r="B278" s="256" t="str">
        <f>výpočty!$R$9</f>
        <v>Do tyłu</v>
      </c>
      <c r="C278" t="str">
        <f>výpočty!$R$5</f>
        <v>Frame - nakładany z listwą maskującą</v>
      </c>
      <c r="D278" s="36" t="str">
        <f>výpočty!$W$7</f>
        <v>Buk (E23)</v>
      </c>
      <c r="E278" t="s">
        <v>2131</v>
      </c>
      <c r="F278">
        <v>0</v>
      </c>
      <c r="G278" s="321" t="str">
        <f>Překlady!$A$145</f>
        <v>Koloru BUK w profilu E23 nie da się łączyć z prowadzeniem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Koloru BUK w profilu E23 nie da się łączyć z prowadzeniem FRAME.</v>
      </c>
      <c r="N278">
        <f t="shared" si="14"/>
        <v>0</v>
      </c>
    </row>
    <row r="279" spans="1:14" x14ac:dyDescent="0.2">
      <c r="A279" s="255" t="str">
        <f>výpočty!$R$15</f>
        <v>Poziomy (z lewej strony na prawą)</v>
      </c>
      <c r="B279" s="256" t="str">
        <f>výpočty!$R$9</f>
        <v>Do tyłu</v>
      </c>
      <c r="C279" t="str">
        <f>výpočty!$R$5</f>
        <v>Frame - nakładany z listwą maskującą</v>
      </c>
      <c r="D279" s="36" t="str">
        <f>výpočty!$W$8</f>
        <v>Czereśnia (E23)</v>
      </c>
      <c r="E279" t="s">
        <v>2130</v>
      </c>
      <c r="F279">
        <v>1</v>
      </c>
      <c r="G279" t="str">
        <f>Překlady!$A$176</f>
        <v>Koloru Czereśnia w profilu E23 nie da się łączyć z prowadzeniem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Koloru Czereśnia w profilu E23 nie da się łączyć z prowadzeniem FRAME.</v>
      </c>
      <c r="N279">
        <f t="shared" si="14"/>
        <v>1</v>
      </c>
    </row>
    <row r="280" spans="1:14" x14ac:dyDescent="0.2">
      <c r="A280" s="255" t="str">
        <f>výpočty!$R$15</f>
        <v>Poziomy (z lewej strony na prawą)</v>
      </c>
      <c r="B280" s="256" t="str">
        <f>výpočty!$R$9</f>
        <v>Do tyłu</v>
      </c>
      <c r="C280" t="str">
        <f>výpočty!$R$5</f>
        <v>Frame - nakładany z listwą maskującą</v>
      </c>
      <c r="D280" s="36" t="str">
        <f>výpočty!$W$9</f>
        <v>Klon (E23)</v>
      </c>
      <c r="E280" t="s">
        <v>2130</v>
      </c>
      <c r="F280">
        <v>1</v>
      </c>
      <c r="G280" t="str">
        <f>Překlady!$A$177</f>
        <v>Koloru Klon w profilu E23 nie da się łączyć z prowadzeniem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Koloru Klon w profilu E23 nie da się łączyć z prowadzeniem FRAME.</v>
      </c>
      <c r="N280">
        <f t="shared" si="14"/>
        <v>1</v>
      </c>
    </row>
    <row r="281" spans="1:14" x14ac:dyDescent="0.2">
      <c r="A281" s="255" t="str">
        <f>výpočty!$R$15</f>
        <v>Poziomy (z lewej strony na prawą)</v>
      </c>
      <c r="B281" s="256" t="str">
        <f>výpočty!$R$9</f>
        <v>Do tyłu</v>
      </c>
      <c r="C281" t="str">
        <f>výpočty!$R$5</f>
        <v>Frame - nakładany z listwą maskującą</v>
      </c>
      <c r="D281" s="36" t="str">
        <f>výpočty!$W$10</f>
        <v>Brzoza (E23)</v>
      </c>
      <c r="E281" t="s">
        <v>2130</v>
      </c>
      <c r="F281">
        <v>1</v>
      </c>
      <c r="G281" t="str">
        <f>Překlady!$A$175</f>
        <v>Koloru Brzoza w profilu E23 nie da się łączyć z prowadzeniem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Koloru Brzoza w profilu E23 nie da się łączyć z prowadzeniem FRAME.</v>
      </c>
      <c r="N281">
        <f t="shared" si="14"/>
        <v>1</v>
      </c>
    </row>
    <row r="282" spans="1:14" x14ac:dyDescent="0.2">
      <c r="A282" s="255" t="str">
        <f>výpočty!$R$15</f>
        <v>Poziomy (z lewej strony na prawą)</v>
      </c>
      <c r="B282" s="256" t="str">
        <f>výpočty!$R$9</f>
        <v>Do tyłu</v>
      </c>
      <c r="C282" t="str">
        <f>výpočty!$R$5</f>
        <v>Frame - nakładany z listwą maskującą</v>
      </c>
      <c r="D282" s="36" t="str">
        <f>výpočty!$W$11</f>
        <v>Czereśnia havana (E23)</v>
      </c>
      <c r="E282" t="s">
        <v>2130</v>
      </c>
      <c r="F282">
        <v>1</v>
      </c>
      <c r="G282" t="str">
        <f>Překlady!$A$170</f>
        <v>Koloru Czereśnia havana w profilu E23 nie da się łączyć z prowadzeniem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Koloru Czereśnia havana w profilu E23 nie da się łączyć z prowadzeniem FRAME.</v>
      </c>
      <c r="N282">
        <f t="shared" si="14"/>
        <v>1</v>
      </c>
    </row>
    <row r="283" spans="1:14" x14ac:dyDescent="0.2">
      <c r="A283" s="255" t="str">
        <f>výpočty!$R$15</f>
        <v>Poziomy (z lewej strony na prawą)</v>
      </c>
      <c r="B283" s="256" t="str">
        <f>výpočty!$R$9</f>
        <v>Do tyłu</v>
      </c>
      <c r="C283" t="str">
        <f>výpočty!$R$5</f>
        <v>Frame - nakładany z listwą maskującą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Poziomy (z lewej strony na prawą)</v>
      </c>
      <c r="B284" s="256" t="str">
        <f>výpočty!$R$9</f>
        <v>Do tyłu</v>
      </c>
      <c r="C284" t="str">
        <f>výpočty!$R$5</f>
        <v>Frame - nakładany z listwą maskującą</v>
      </c>
      <c r="D284" s="36" t="str">
        <f>výpočty!$W$14</f>
        <v>śnieżno biala mat (E9)</v>
      </c>
      <c r="E284" s="321" t="s">
        <v>2131</v>
      </c>
      <c r="F284" s="321">
        <v>1</v>
      </c>
      <c r="G284" s="321" t="str">
        <f>Překlady!$A$142</f>
        <v>Kolor śnieżno biały w profilu E9 można łączyć jedynie z prowadzeniem Classic i systemem nawijania do tyłu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Kolor śnieżno biały w profilu E9 można łączyć jedynie z prowadzeniem Classic i systemem nawijania do tyłu</v>
      </c>
      <c r="N284">
        <f t="shared" si="14"/>
        <v>1</v>
      </c>
    </row>
    <row r="285" spans="1:14" x14ac:dyDescent="0.2">
      <c r="A285" s="255" t="str">
        <f>výpočty!$R$15</f>
        <v>Poziomy (z lewej strony na prawą)</v>
      </c>
      <c r="B285" s="256" t="str">
        <f>výpočty!$R$9</f>
        <v>Do tyłu</v>
      </c>
      <c r="C285" t="str">
        <f>výpočty!$R$5</f>
        <v>Frame - nakładany z listwą maskującą</v>
      </c>
      <c r="D285" s="36" t="str">
        <f>výpočty!$W$15</f>
        <v>Aluminowa plastik (E4)</v>
      </c>
      <c r="E285" t="s">
        <v>2131</v>
      </c>
      <c r="F285">
        <v>1</v>
      </c>
      <c r="G285" s="321" t="str">
        <f>Překlady!$A$143</f>
        <v>Kolor aluminium plastik w profilu E4 jest idealny do poziomych rozwiązań w kombinacji z prowadzeniem Classic z systemem nawijania do tyłu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Kolor aluminium plastik w profilu E4 jest idealny do poziomych rozwiązań w kombinacji z prowadzeniem Classic z systemem nawijania do tyłu</v>
      </c>
      <c r="N285">
        <f t="shared" si="14"/>
        <v>1</v>
      </c>
    </row>
    <row r="286" spans="1:14" x14ac:dyDescent="0.2">
      <c r="A286" s="255" t="str">
        <f>výpočty!$R$15</f>
        <v>Poziomy (z lewej strony na prawą)</v>
      </c>
      <c r="B286" s="256" t="str">
        <f>výpočty!$R$9</f>
        <v>Do tyłu</v>
      </c>
      <c r="C286" t="str">
        <f>výpočty!$R$5</f>
        <v>Frame - nakładany z listwą maskującą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Poziomy (z lewej strony na prawą)</v>
      </c>
      <c r="B287" s="256" t="str">
        <f>výpočty!$R$9</f>
        <v>Do tyłu</v>
      </c>
      <c r="C287" t="str">
        <f>výpočty!$R$5</f>
        <v>Frame - nakładany z listwą maskującą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Poziomy (z lewej strony na prawą)</v>
      </c>
      <c r="B288" s="256" t="str">
        <f>výpočty!$R$9</f>
        <v>Do tyłu</v>
      </c>
      <c r="C288" t="str">
        <f>výpočty!$R$5</f>
        <v>Frame - nakładany z listwą maskującą</v>
      </c>
      <c r="D288" s="36" t="str">
        <f>výpočty!$W$19</f>
        <v>Aluminium szerokość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Poziomy (z lewej strony na prawą)</v>
      </c>
      <c r="B289" s="256" t="str">
        <f>výpočty!$R$9</f>
        <v>Do tyłu</v>
      </c>
      <c r="C289" t="str">
        <f>výpočty!$R$5</f>
        <v>Frame - nakładany z listwą maskującą</v>
      </c>
      <c r="D289" s="27" t="str">
        <f>výpočty!$W$20</f>
        <v>Nierdz. szerokość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Poziomy (z lewej strony na prawą)</v>
      </c>
      <c r="B290" s="256" t="str">
        <f>výpočty!$R$9</f>
        <v>Do tyłu</v>
      </c>
      <c r="C290" t="str">
        <f>výpočty!$R$6</f>
        <v>TOP - wpuszczany do przykręcenia metalowy z listwą maskującą</v>
      </c>
      <c r="D290" s="26" t="str">
        <f>výpočty!$W$3</f>
        <v>Czarny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Poziomy (z lewej strony na prawą)</v>
      </c>
      <c r="B291" s="256" t="str">
        <f>výpočty!$R$9</f>
        <v>Do tyłu</v>
      </c>
      <c r="C291" t="str">
        <f>výpočty!$R$6</f>
        <v>TOP - wpuszczany do przykręcenia metalowy z listwą maskującą</v>
      </c>
      <c r="D291" s="36" t="str">
        <f>výpočty!$W$4</f>
        <v>Biały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Poziomy (z lewej strony na prawą)</v>
      </c>
      <c r="B292" s="256" t="str">
        <f>výpočty!$R$9</f>
        <v>Do tyłu</v>
      </c>
      <c r="C292" t="str">
        <f>výpočty!$R$6</f>
        <v>TOP - wpuszczany do przykręcenia metalowy z listwą maskującą</v>
      </c>
      <c r="D292" s="36" t="str">
        <f>výpočty!$W$5</f>
        <v>Szary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Poziomy (z lewej strony na prawą)</v>
      </c>
      <c r="B293" s="256" t="str">
        <f>výpočty!$R$9</f>
        <v>Do tyłu</v>
      </c>
      <c r="C293" t="str">
        <f>výpočty!$R$6</f>
        <v>TOP - wpuszczany do przykręcenia metalowy z listwą maskującą</v>
      </c>
      <c r="D293" s="36" t="str">
        <f>výpočty!$W$6</f>
        <v>Aluminowa plastik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Poziomy (z lewej strony na prawą)</v>
      </c>
      <c r="B294" s="256" t="str">
        <f>výpočty!$R$9</f>
        <v>Do tyłu</v>
      </c>
      <c r="C294" t="str">
        <f>výpočty!$R$6</f>
        <v>TOP - wpuszczany do przykręcenia metalowy z listwą maskującą</v>
      </c>
      <c r="D294" s="36" t="str">
        <f>výpočty!$W$7</f>
        <v>Buk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Poziomy (z lewej strony na prawą)</v>
      </c>
      <c r="B295" s="256" t="str">
        <f>výpočty!$R$9</f>
        <v>Do tyłu</v>
      </c>
      <c r="C295" t="str">
        <f>výpočty!$R$6</f>
        <v>TOP - wpuszczany do przykręcenia metalowy z listwą maskującą</v>
      </c>
      <c r="D295" s="36" t="str">
        <f>výpočty!$W$8</f>
        <v>Czereśnia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Poziomy (z lewej strony na prawą)</v>
      </c>
      <c r="B296" s="256" t="str">
        <f>výpočty!$R$9</f>
        <v>Do tyłu</v>
      </c>
      <c r="C296" t="str">
        <f>výpočty!$R$6</f>
        <v>TOP - wpuszczany do przykręcenia metalowy z listwą maskującą</v>
      </c>
      <c r="D296" s="36" t="str">
        <f>výpočty!$W$9</f>
        <v>Klon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Poziomy (z lewej strony na prawą)</v>
      </c>
      <c r="B297" s="256" t="str">
        <f>výpočty!$R$9</f>
        <v>Do tyłu</v>
      </c>
      <c r="C297" t="str">
        <f>výpočty!$R$6</f>
        <v>TOP - wpuszczany do przykręcenia metalowy z listwą maskującą</v>
      </c>
      <c r="D297" s="36" t="str">
        <f>výpočty!$W$10</f>
        <v>Brzoza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Poziomy (z lewej strony na prawą)</v>
      </c>
      <c r="B298" s="256" t="str">
        <f>výpočty!$R$9</f>
        <v>Do tyłu</v>
      </c>
      <c r="C298" t="str">
        <f>výpočty!$R$6</f>
        <v>TOP - wpuszczany do przykręcenia metalowy z listwą maskującą</v>
      </c>
      <c r="D298" s="36" t="str">
        <f>výpočty!$W$11</f>
        <v>Czereśnia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Poziomy (z lewej strony na prawą)</v>
      </c>
      <c r="B299" s="256" t="str">
        <f>výpočty!$R$9</f>
        <v>Do tyłu</v>
      </c>
      <c r="C299" t="str">
        <f>výpočty!$R$6</f>
        <v>TOP - wpuszczany do przykręcenia metalowy z listwą maskującą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Poziomy (z lewej strony na prawą)</v>
      </c>
      <c r="B300" s="256" t="str">
        <f>výpočty!$R$9</f>
        <v>Do tyłu</v>
      </c>
      <c r="C300" t="str">
        <f>výpočty!$R$6</f>
        <v>TOP - wpuszczany do przykręcenia metalowy z listwą maskującą</v>
      </c>
      <c r="D300" s="350" t="str">
        <f>výpočty!$W$14</f>
        <v>śnieżno biala mat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Poziomy (z lewej strony na prawą)</v>
      </c>
      <c r="B301" s="256" t="str">
        <f>výpočty!$R$9</f>
        <v>Do tyłu</v>
      </c>
      <c r="C301" t="str">
        <f>výpočty!$R$6</f>
        <v>TOP - wpuszczany do przykręcenia metalowy z listwą maskującą</v>
      </c>
      <c r="D301" s="36" t="str">
        <f>výpočty!$W$15</f>
        <v>Aluminowa plastik (E4)</v>
      </c>
      <c r="E301" t="s">
        <v>2131</v>
      </c>
      <c r="F301">
        <v>1</v>
      </c>
      <c r="G301" s="321" t="str">
        <f>Překlady!$A$143</f>
        <v>Kolor aluminium plastik w profilu E4 jest idealny do poziomych rozwiązań w kombinacji z prowadzeniem Classic z systemem nawijania do tyłu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Kolor aluminium plastik w profilu E4 jest idealny do poziomych rozwiązań w kombinacji z prowadzeniem Classic z systemem nawijania do tyłu</v>
      </c>
      <c r="N301">
        <f t="shared" si="14"/>
        <v>1</v>
      </c>
    </row>
    <row r="302" spans="1:14" x14ac:dyDescent="0.2">
      <c r="A302" s="255" t="str">
        <f>výpočty!$R$15</f>
        <v>Poziomy (z lewej strony na prawą)</v>
      </c>
      <c r="B302" s="256" t="str">
        <f>výpočty!$R$9</f>
        <v>Do tyłu</v>
      </c>
      <c r="C302" t="str">
        <f>výpočty!$R$6</f>
        <v>TOP - wpuszczany do przykręcenia metalowy z listwą maskującą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Poziomy (z lewej strony na prawą)</v>
      </c>
      <c r="B303" s="256" t="str">
        <f>výpočty!$R$9</f>
        <v>Do tyłu</v>
      </c>
      <c r="C303" t="str">
        <f>výpočty!$R$6</f>
        <v>TOP - wpuszczany do przykręcenia metalowy z listwą maskującą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Poziomy (z lewej strony na prawą)</v>
      </c>
      <c r="B304" s="256" t="str">
        <f>výpočty!$R$9</f>
        <v>Do tyłu</v>
      </c>
      <c r="C304" t="str">
        <f>výpočty!$R$6</f>
        <v>TOP - wpuszczany do przykręcenia metalowy z listwą maskującą</v>
      </c>
      <c r="D304" s="36" t="str">
        <f>výpočty!$W$19</f>
        <v>Aluminium szerokość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Poziomy (z lewej strony na prawą)</v>
      </c>
      <c r="B305" s="256" t="str">
        <f>výpočty!$R$9</f>
        <v>Do tyłu</v>
      </c>
      <c r="C305" t="str">
        <f>výpočty!$R$6</f>
        <v>TOP - wpuszczany do przykręcenia metalowy z listwą maskującą</v>
      </c>
      <c r="D305" s="27" t="str">
        <f>výpočty!$W$20</f>
        <v>Nierdz. szerokość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Poziomy (z lewej strony na prawą)</v>
      </c>
      <c r="B306" s="256" t="str">
        <f>výpočty!$R$9</f>
        <v>Do tyłu</v>
      </c>
      <c r="C306" t="str">
        <f>výpočty!$R$7</f>
        <v>Nakładany z prowadzeniem metalic-line 29 mm i mechanimem C3</v>
      </c>
      <c r="D306" s="26" t="str">
        <f>výpočty!$W$3</f>
        <v>Czarny (E23)</v>
      </c>
      <c r="E306" t="s">
        <v>2131</v>
      </c>
      <c r="F306">
        <v>1</v>
      </c>
      <c r="G306" s="321" t="str">
        <f>Překlady!$A$153</f>
        <v>U systemu nawijania do tyłu i do ślimaka roletowego nie da się zastosować nakładanego systemu prowadzenia 29 mm i mechanizmu C3. Należy wybrać wersję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U systemu nawijania do tyłu i do ślimaka roletowego nie da się zastosować nakładanego systemu prowadzenia 29 mm i mechanizmu C3. Należy wybrać wersję FRAME.</v>
      </c>
      <c r="N306">
        <f t="shared" si="14"/>
        <v>1</v>
      </c>
    </row>
    <row r="307" spans="1:14" x14ac:dyDescent="0.2">
      <c r="A307" s="255" t="str">
        <f>výpočty!$R$15</f>
        <v>Poziomy (z lewej strony na prawą)</v>
      </c>
      <c r="B307" s="256" t="str">
        <f>výpočty!$R$9</f>
        <v>Do tyłu</v>
      </c>
      <c r="C307" t="str">
        <f>výpočty!$R$7</f>
        <v>Nakładany z prowadzeniem metalic-line 29 mm i mechanimem C3</v>
      </c>
      <c r="D307" s="36" t="str">
        <f>výpočty!$W$4</f>
        <v>Biały (E23)</v>
      </c>
      <c r="E307" t="s">
        <v>2131</v>
      </c>
      <c r="F307">
        <v>1</v>
      </c>
      <c r="G307" s="321" t="str">
        <f>Překlady!$A$153</f>
        <v>U systemu nawijania do tyłu i do ślimaka roletowego nie da się zastosować nakładanego systemu prowadzenia 29 mm i mechanizmu C3. Należy wybrać wersję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U systemu nawijania do tyłu i do ślimaka roletowego nie da się zastosować nakładanego systemu prowadzenia 29 mm i mechanizmu C3. Należy wybrać wersję FRAME.</v>
      </c>
      <c r="N307">
        <f t="shared" si="14"/>
        <v>1</v>
      </c>
    </row>
    <row r="308" spans="1:14" x14ac:dyDescent="0.2">
      <c r="A308" s="255" t="str">
        <f>výpočty!$R$15</f>
        <v>Poziomy (z lewej strony na prawą)</v>
      </c>
      <c r="B308" s="256" t="str">
        <f>výpočty!$R$9</f>
        <v>Do tyłu</v>
      </c>
      <c r="C308" t="str">
        <f>výpočty!$R$7</f>
        <v>Nakładany z prowadzeniem metalic-line 29 mm i mechanimem C3</v>
      </c>
      <c r="D308" s="36" t="str">
        <f>výpočty!$W$5</f>
        <v>Szary (E23)</v>
      </c>
      <c r="E308" t="s">
        <v>2131</v>
      </c>
      <c r="F308">
        <v>1</v>
      </c>
      <c r="G308" s="321" t="str">
        <f>Překlady!$A$153</f>
        <v>U systemu nawijania do tyłu i do ślimaka roletowego nie da się zastosować nakładanego systemu prowadzenia 29 mm i mechanizmu C3. Należy wybrać wersję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U systemu nawijania do tyłu i do ślimaka roletowego nie da się zastosować nakładanego systemu prowadzenia 29 mm i mechanizmu C3. Należy wybrać wersję FRAME.</v>
      </c>
      <c r="N308">
        <f t="shared" si="14"/>
        <v>1</v>
      </c>
    </row>
    <row r="309" spans="1:14" x14ac:dyDescent="0.2">
      <c r="A309" s="255" t="str">
        <f>výpočty!$R$15</f>
        <v>Poziomy (z lewej strony na prawą)</v>
      </c>
      <c r="B309" s="256" t="str">
        <f>výpočty!$R$9</f>
        <v>Do tyłu</v>
      </c>
      <c r="C309" t="str">
        <f>výpočty!$R$7</f>
        <v>Nakładany z prowadzeniem metalic-line 29 mm i mechanimem C3</v>
      </c>
      <c r="D309" s="36" t="str">
        <f>výpočty!$W$6</f>
        <v>Aluminowa plastik (E23)</v>
      </c>
      <c r="E309" t="s">
        <v>2131</v>
      </c>
      <c r="F309">
        <v>1</v>
      </c>
      <c r="G309" s="321" t="str">
        <f>Překlady!$A$153</f>
        <v>U systemu nawijania do tyłu i do ślimaka roletowego nie da się zastosować nakładanego systemu prowadzenia 29 mm i mechanizmu C3. Należy wybrać wersję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U systemu nawijania do tyłu i do ślimaka roletowego nie da się zastosować nakładanego systemu prowadzenia 29 mm i mechanizmu C3. Należy wybrać wersję FRAME.</v>
      </c>
      <c r="N309">
        <f t="shared" si="14"/>
        <v>1</v>
      </c>
    </row>
    <row r="310" spans="1:14" x14ac:dyDescent="0.2">
      <c r="A310" s="255" t="str">
        <f>výpočty!$R$15</f>
        <v>Poziomy (z lewej strony na prawą)</v>
      </c>
      <c r="B310" s="256" t="str">
        <f>výpočty!$R$9</f>
        <v>Do tyłu</v>
      </c>
      <c r="C310" t="str">
        <f>výpočty!$R$7</f>
        <v>Nakładany z prowadzeniem metalic-line 29 mm i mechanimem C3</v>
      </c>
      <c r="D310" s="36" t="str">
        <f>výpočty!$W$7</f>
        <v>Buk (E23)</v>
      </c>
      <c r="E310" t="s">
        <v>2131</v>
      </c>
      <c r="F310">
        <v>1</v>
      </c>
      <c r="G310" s="321" t="str">
        <f>Překlady!$A$153</f>
        <v>U systemu nawijania do tyłu i do ślimaka roletowego nie da się zastosować nakładanego systemu prowadzenia 29 mm i mechanizmu C3. Należy wybrać wersję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U systemu nawijania do tyłu i do ślimaka roletowego nie da się zastosować nakładanego systemu prowadzenia 29 mm i mechanizmu C3. Należy wybrać wersję FRAME.</v>
      </c>
      <c r="N310">
        <f t="shared" si="14"/>
        <v>1</v>
      </c>
    </row>
    <row r="311" spans="1:14" x14ac:dyDescent="0.2">
      <c r="A311" s="255" t="str">
        <f>výpočty!$R$15</f>
        <v>Poziomy (z lewej strony na prawą)</v>
      </c>
      <c r="B311" s="256" t="str">
        <f>výpočty!$R$9</f>
        <v>Do tyłu</v>
      </c>
      <c r="C311" t="str">
        <f>výpočty!$R$7</f>
        <v>Nakładany z prowadzeniem metalic-line 29 mm i mechanimem C3</v>
      </c>
      <c r="D311" s="36" t="str">
        <f>výpočty!$W$8</f>
        <v>Czereśnia (E23)</v>
      </c>
      <c r="E311" t="s">
        <v>2131</v>
      </c>
      <c r="F311">
        <v>1</v>
      </c>
      <c r="G311" s="321" t="str">
        <f>Překlady!$A$153</f>
        <v>U systemu nawijania do tyłu i do ślimaka roletowego nie da się zastosować nakładanego systemu prowadzenia 29 mm i mechanizmu C3. Należy wybrać wersję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U systemu nawijania do tyłu i do ślimaka roletowego nie da się zastosować nakładanego systemu prowadzenia 29 mm i mechanizmu C3. Należy wybrać wersję FRAME.</v>
      </c>
      <c r="N311">
        <f t="shared" si="14"/>
        <v>1</v>
      </c>
    </row>
    <row r="312" spans="1:14" x14ac:dyDescent="0.2">
      <c r="A312" s="255" t="str">
        <f>výpočty!$R$15</f>
        <v>Poziomy (z lewej strony na prawą)</v>
      </c>
      <c r="B312" s="256" t="str">
        <f>výpočty!$R$9</f>
        <v>Do tyłu</v>
      </c>
      <c r="C312" t="str">
        <f>výpočty!$R$7</f>
        <v>Nakładany z prowadzeniem metalic-line 29 mm i mechanimem C3</v>
      </c>
      <c r="D312" s="36" t="str">
        <f>výpočty!$W$9</f>
        <v>Klon (E23)</v>
      </c>
      <c r="E312" t="s">
        <v>2131</v>
      </c>
      <c r="F312">
        <v>1</v>
      </c>
      <c r="G312" s="321" t="str">
        <f>Překlady!$A$153</f>
        <v>U systemu nawijania do tyłu i do ślimaka roletowego nie da się zastosować nakładanego systemu prowadzenia 29 mm i mechanizmu C3. Należy wybrać wersję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U systemu nawijania do tyłu i do ślimaka roletowego nie da się zastosować nakładanego systemu prowadzenia 29 mm i mechanizmu C3. Należy wybrać wersję FRAME.</v>
      </c>
      <c r="N312">
        <f t="shared" si="14"/>
        <v>1</v>
      </c>
    </row>
    <row r="313" spans="1:14" x14ac:dyDescent="0.2">
      <c r="A313" s="255" t="str">
        <f>výpočty!$R$15</f>
        <v>Poziomy (z lewej strony na prawą)</v>
      </c>
      <c r="B313" s="256" t="str">
        <f>výpočty!$R$9</f>
        <v>Do tyłu</v>
      </c>
      <c r="C313" t="str">
        <f>výpočty!$R$7</f>
        <v>Nakładany z prowadzeniem metalic-line 29 mm i mechanimem C3</v>
      </c>
      <c r="D313" s="36" t="str">
        <f>výpočty!$W$10</f>
        <v>Brzoza (E23)</v>
      </c>
      <c r="E313" t="s">
        <v>2131</v>
      </c>
      <c r="F313">
        <v>1</v>
      </c>
      <c r="G313" s="321" t="str">
        <f>Překlady!$A$153</f>
        <v>U systemu nawijania do tyłu i do ślimaka roletowego nie da się zastosować nakładanego systemu prowadzenia 29 mm i mechanizmu C3. Należy wybrać wersję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U systemu nawijania do tyłu i do ślimaka roletowego nie da się zastosować nakładanego systemu prowadzenia 29 mm i mechanizmu C3. Należy wybrać wersję FRAME.</v>
      </c>
      <c r="N313">
        <f t="shared" si="14"/>
        <v>1</v>
      </c>
    </row>
    <row r="314" spans="1:14" x14ac:dyDescent="0.2">
      <c r="A314" s="255" t="str">
        <f>výpočty!$R$15</f>
        <v>Poziomy (z lewej strony na prawą)</v>
      </c>
      <c r="B314" s="256" t="str">
        <f>výpočty!$R$9</f>
        <v>Do tyłu</v>
      </c>
      <c r="C314" t="str">
        <f>výpočty!$R$7</f>
        <v>Nakładany z prowadzeniem metalic-line 29 mm i mechanimem C3</v>
      </c>
      <c r="D314" s="36" t="str">
        <f>výpočty!$W$11</f>
        <v>Czereśnia havana (E23)</v>
      </c>
      <c r="E314" t="s">
        <v>2131</v>
      </c>
      <c r="F314">
        <v>1</v>
      </c>
      <c r="G314" s="321" t="str">
        <f>Překlady!$A$153</f>
        <v>U systemu nawijania do tyłu i do ślimaka roletowego nie da się zastosować nakładanego systemu prowadzenia 29 mm i mechanizmu C3. Należy wybrać wersję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U systemu nawijania do tyłu i do ślimaka roletowego nie da się zastosować nakładanego systemu prowadzenia 29 mm i mechanizmu C3. Należy wybrać wersję FRAME.</v>
      </c>
      <c r="N314">
        <f t="shared" si="14"/>
        <v>1</v>
      </c>
    </row>
    <row r="315" spans="1:14" x14ac:dyDescent="0.2">
      <c r="A315" s="255" t="str">
        <f>výpočty!$R$15</f>
        <v>Poziomy (z lewej strony na prawą)</v>
      </c>
      <c r="B315" s="256" t="str">
        <f>výpočty!$R$9</f>
        <v>Do tyłu</v>
      </c>
      <c r="C315" t="str">
        <f>výpočty!$R$7</f>
        <v>Nakładany z prowadzeniem metalic-line 29 mm i mechanimem C3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U systemu nawijania do tyłu i do ślimaka roletowego nie da się zastosować nakładanego systemu prowadzenia 29 mm i mechanizmu C3. Należy wybrać wersję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U systemu nawijania do tyłu i do ślimaka roletowego nie da się zastosować nakładanego systemu prowadzenia 29 mm i mechanizmu C3. Należy wybrać wersję FRAME.</v>
      </c>
      <c r="N315">
        <f t="shared" si="14"/>
        <v>1</v>
      </c>
    </row>
    <row r="316" spans="1:14" x14ac:dyDescent="0.2">
      <c r="A316" s="255" t="str">
        <f>výpočty!$R$15</f>
        <v>Poziomy (z lewej strony na prawą)</v>
      </c>
      <c r="B316" s="256" t="str">
        <f>výpočty!$R$9</f>
        <v>Do tyłu</v>
      </c>
      <c r="C316" t="str">
        <f>výpočty!$R$7</f>
        <v>Nakładany z prowadzeniem metalic-line 29 mm i mechanimem C3</v>
      </c>
      <c r="D316" s="36" t="str">
        <f>výpočty!$W$14</f>
        <v>śnieżno biala mat (E9)</v>
      </c>
      <c r="E316" t="s">
        <v>2131</v>
      </c>
      <c r="F316">
        <v>1</v>
      </c>
      <c r="G316" s="321" t="str">
        <f>Překlady!$A$142</f>
        <v>Kolor śnieżno biały w profilu E9 można łączyć jedynie z prowadzeniem Classic i systemem nawijania do tyłu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Kolor śnieżno biały w profilu E9 można łączyć jedynie z prowadzeniem Classic i systemem nawijania do tyłu</v>
      </c>
      <c r="N316">
        <f t="shared" si="14"/>
        <v>1</v>
      </c>
    </row>
    <row r="317" spans="1:14" x14ac:dyDescent="0.2">
      <c r="A317" s="255" t="str">
        <f>výpočty!$R$15</f>
        <v>Poziomy (z lewej strony na prawą)</v>
      </c>
      <c r="B317" s="256" t="str">
        <f>výpočty!$R$9</f>
        <v>Do tyłu</v>
      </c>
      <c r="C317" t="str">
        <f>výpočty!$R$7</f>
        <v>Nakładany z prowadzeniem metalic-line 29 mm i mechanimem C3</v>
      </c>
      <c r="D317" s="36" t="str">
        <f>výpočty!$W$15</f>
        <v>Aluminowa plastik (E4)</v>
      </c>
      <c r="E317" t="s">
        <v>2131</v>
      </c>
      <c r="F317">
        <v>1</v>
      </c>
      <c r="G317" s="321" t="str">
        <f>Překlady!$A$143</f>
        <v>Kolor aluminium plastik w profilu E4 jest idealny do poziomych rozwiązań w kombinacji z prowadzeniem Classic z systemem nawijania do tyłu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Kolor aluminium plastik w profilu E4 jest idealny do poziomych rozwiązań w kombinacji z prowadzeniem Classic z systemem nawijania do tyłu</v>
      </c>
      <c r="N317">
        <f t="shared" si="14"/>
        <v>1</v>
      </c>
    </row>
    <row r="318" spans="1:14" x14ac:dyDescent="0.2">
      <c r="A318" s="255" t="str">
        <f>výpočty!$R$15</f>
        <v>Poziomy (z lewej strony na prawą)</v>
      </c>
      <c r="B318" s="256" t="str">
        <f>výpočty!$R$9</f>
        <v>Do tyłu</v>
      </c>
      <c r="C318" t="str">
        <f>výpočty!$R$7</f>
        <v>Nakładany z prowadzeniem metalic-line 29 mm i mechanimem C3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U systemu nawijania do tyłu i do ślimaka roletowego nie da się zastosować nakładanego systemu prowadzenia 29 mm i mechanizmu C3. Należy wybrać wersję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U systemu nawijania do tyłu i do ślimaka roletowego nie da się zastosować nakładanego systemu prowadzenia 29 mm i mechanizmu C3. Należy wybrać wersję FRAME.</v>
      </c>
      <c r="N318">
        <f t="shared" si="14"/>
        <v>1</v>
      </c>
    </row>
    <row r="319" spans="1:14" x14ac:dyDescent="0.2">
      <c r="A319" s="255" t="str">
        <f>výpočty!$R$15</f>
        <v>Poziomy (z lewej strony na prawą)</v>
      </c>
      <c r="B319" s="256" t="str">
        <f>výpočty!$R$9</f>
        <v>Do tyłu</v>
      </c>
      <c r="C319" t="str">
        <f>výpočty!$R$7</f>
        <v>Nakładany z prowadzeniem metalic-line 29 mm i mechanimem C3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U systemu nawijania do tyłu i do ślimaka roletowego nie da się zastosować nakładanego systemu prowadzenia 29 mm i mechanizmu C3. Należy wybrać wersję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U systemu nawijania do tyłu i do ślimaka roletowego nie da się zastosować nakładanego systemu prowadzenia 29 mm i mechanizmu C3. Należy wybrać wersję FRAME.</v>
      </c>
      <c r="N319">
        <f t="shared" si="14"/>
        <v>1</v>
      </c>
    </row>
    <row r="320" spans="1:14" x14ac:dyDescent="0.2">
      <c r="A320" s="255" t="str">
        <f>výpočty!$R$15</f>
        <v>Poziomy (z lewej strony na prawą)</v>
      </c>
      <c r="B320" s="256" t="str">
        <f>výpočty!$R$9</f>
        <v>Do tyłu</v>
      </c>
      <c r="C320" t="str">
        <f>výpočty!$R$7</f>
        <v>Nakładany z prowadzeniem metalic-line 29 mm i mechanimem C3</v>
      </c>
      <c r="D320" s="36" t="str">
        <f>výpočty!$W$19</f>
        <v>Aluminium szerokość 25 mm (metallic-line)</v>
      </c>
      <c r="E320" t="s">
        <v>2131</v>
      </c>
      <c r="F320">
        <v>1</v>
      </c>
      <c r="G320" s="321" t="str">
        <f>Překlady!$A$153</f>
        <v>U systemu nawijania do tyłu i do ślimaka roletowego nie da się zastosować nakładanego systemu prowadzenia 29 mm i mechanizmu C3. Należy wybrać wersję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U systemu nawijania do tyłu i do ślimaka roletowego nie da się zastosować nakładanego systemu prowadzenia 29 mm i mechanizmu C3. Należy wybrać wersję FRAME.</v>
      </c>
      <c r="N320">
        <f t="shared" si="14"/>
        <v>1</v>
      </c>
    </row>
    <row r="321" spans="1:14" ht="13.5" thickBot="1" x14ac:dyDescent="0.25">
      <c r="A321" s="255" t="str">
        <f>výpočty!$R$15</f>
        <v>Poziomy (z lewej strony na prawą)</v>
      </c>
      <c r="B321" s="256" t="str">
        <f>výpočty!$R$9</f>
        <v>Do tyłu</v>
      </c>
      <c r="C321" t="str">
        <f>výpočty!$R$7</f>
        <v>Nakładany z prowadzeniem metalic-line 29 mm i mechanimem C3</v>
      </c>
      <c r="D321" s="27" t="str">
        <f>výpočty!$W$20</f>
        <v>Nierdz. szerokość 25 mm (metallic-line)</v>
      </c>
      <c r="E321" t="s">
        <v>2131</v>
      </c>
      <c r="F321">
        <v>1</v>
      </c>
      <c r="G321" s="321" t="str">
        <f>Překlady!$A$153</f>
        <v>U systemu nawijania do tyłu i do ślimaka roletowego nie da się zastosować nakładanego systemu prowadzenia 29 mm i mechanizmu C3. Należy wybrać wersję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U systemu nawijania do tyłu i do ślimaka roletowego nie da się zastosować nakładanego systemu prowadzenia 29 mm i mechanizmu C3. Należy wybrać wersję FRAME.</v>
      </c>
      <c r="N321">
        <f t="shared" si="14"/>
        <v>1</v>
      </c>
    </row>
    <row r="322" spans="1:14" x14ac:dyDescent="0.2">
      <c r="A322" s="255" t="str">
        <f>výpočty!$R$15</f>
        <v>Poziomy (z lewej strony na prawą)</v>
      </c>
      <c r="B322" s="256" t="str">
        <f>výpočty!$R$10</f>
        <v>Do ślimaka roletowego</v>
      </c>
      <c r="C322" t="str">
        <f>výpočty!$R$3</f>
        <v>TOP Basic - wpuszczany do przykręcenia plastikowy</v>
      </c>
      <c r="D322" s="26" t="str">
        <f>výpočty!$W$3</f>
        <v>Czarny (E23)</v>
      </c>
      <c r="E322" t="s">
        <v>2131</v>
      </c>
      <c r="F322">
        <v>1</v>
      </c>
      <c r="G322" t="str">
        <f>Překlady!$A$147</f>
        <v>Systemu TOP BASIC nie da się zastosować z ślimakiem roletowym. Zalecamy wybrać wersję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Systemu TOP BASIC nie da się zastosować z ślimakiem roletowym. Zalecamy wybrać wersję TOP.</v>
      </c>
      <c r="N322">
        <f t="shared" si="14"/>
        <v>1</v>
      </c>
    </row>
    <row r="323" spans="1:14" x14ac:dyDescent="0.2">
      <c r="A323" s="255" t="str">
        <f>výpočty!$R$15</f>
        <v>Poziomy (z lewej strony na prawą)</v>
      </c>
      <c r="B323" s="256" t="str">
        <f>výpočty!$R$10</f>
        <v>Do ślimaka roletowego</v>
      </c>
      <c r="C323" t="str">
        <f>výpočty!$R$3</f>
        <v>TOP Basic - wpuszczany do przykręcenia plastikowy</v>
      </c>
      <c r="D323" s="36" t="str">
        <f>výpočty!$W$4</f>
        <v>Biały (E23)</v>
      </c>
      <c r="E323" t="s">
        <v>2131</v>
      </c>
      <c r="F323">
        <v>1</v>
      </c>
      <c r="G323" t="str">
        <f>Překlady!$A$147</f>
        <v>Systemu TOP BASIC nie da się zastosować z ślimakiem roletowym. Zalecamy wybrać wersję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Systemu TOP BASIC nie da się zastosować z ślimakiem roletowym. Zalecamy wybrać wersję TOP.</v>
      </c>
      <c r="N323">
        <f t="shared" ref="N323:N386" si="17">F:F</f>
        <v>1</v>
      </c>
    </row>
    <row r="324" spans="1:14" x14ac:dyDescent="0.2">
      <c r="A324" s="255" t="str">
        <f>výpočty!$R$15</f>
        <v>Poziomy (z lewej strony na prawą)</v>
      </c>
      <c r="B324" s="256" t="str">
        <f>výpočty!$R$10</f>
        <v>Do ślimaka roletowego</v>
      </c>
      <c r="C324" t="str">
        <f>výpočty!$R$3</f>
        <v>TOP Basic - wpuszczany do przykręcenia plastikowy</v>
      </c>
      <c r="D324" s="36" t="str">
        <f>výpočty!$W$5</f>
        <v>Szary (E23)</v>
      </c>
      <c r="E324" t="s">
        <v>2131</v>
      </c>
      <c r="F324">
        <v>1</v>
      </c>
      <c r="G324" t="str">
        <f>Překlady!$A$147</f>
        <v>Systemu TOP BASIC nie da się zastosować z ślimakiem roletowym. Zalecamy wybrać wersję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Systemu TOP BASIC nie da się zastosować z ślimakiem roletowym. Zalecamy wybrać wersję TOP.</v>
      </c>
      <c r="N324">
        <f t="shared" si="17"/>
        <v>1</v>
      </c>
    </row>
    <row r="325" spans="1:14" x14ac:dyDescent="0.2">
      <c r="A325" s="255" t="str">
        <f>výpočty!$R$15</f>
        <v>Poziomy (z lewej strony na prawą)</v>
      </c>
      <c r="B325" s="256" t="str">
        <f>výpočty!$R$10</f>
        <v>Do ślimaka roletowego</v>
      </c>
      <c r="C325" t="str">
        <f>výpočty!$R$3</f>
        <v>TOP Basic - wpuszczany do przykręcenia plastikowy</v>
      </c>
      <c r="D325" s="36" t="str">
        <f>výpočty!$W$6</f>
        <v>Aluminowa plastik (E23)</v>
      </c>
      <c r="E325" t="s">
        <v>2131</v>
      </c>
      <c r="F325">
        <v>1</v>
      </c>
      <c r="G325" t="str">
        <f>Překlady!$A$147</f>
        <v>Systemu TOP BASIC nie da się zastosować z ślimakiem roletowym. Zalecamy wybrać wersję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Systemu TOP BASIC nie da się zastosować z ślimakiem roletowym. Zalecamy wybrać wersję TOP.</v>
      </c>
      <c r="N325">
        <f t="shared" si="17"/>
        <v>1</v>
      </c>
    </row>
    <row r="326" spans="1:14" x14ac:dyDescent="0.2">
      <c r="A326" s="255" t="str">
        <f>výpočty!$R$15</f>
        <v>Poziomy (z lewej strony na prawą)</v>
      </c>
      <c r="B326" s="256" t="str">
        <f>výpočty!$R$10</f>
        <v>Do ślimaka roletowego</v>
      </c>
      <c r="C326" t="str">
        <f>výpočty!$R$3</f>
        <v>TOP Basic - wpuszczany do przykręcenia plastikowy</v>
      </c>
      <c r="D326" s="36" t="str">
        <f>výpočty!$W$7</f>
        <v>Buk (E23)</v>
      </c>
      <c r="E326" t="s">
        <v>2131</v>
      </c>
      <c r="F326">
        <v>1</v>
      </c>
      <c r="G326" t="str">
        <f>Překlady!$A$147</f>
        <v>Systemu TOP BASIC nie da się zastosować z ślimakiem roletowym. Zalecamy wybrać wersję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Systemu TOP BASIC nie da się zastosować z ślimakiem roletowym. Zalecamy wybrać wersję TOP.</v>
      </c>
      <c r="N326">
        <f t="shared" si="17"/>
        <v>1</v>
      </c>
    </row>
    <row r="327" spans="1:14" x14ac:dyDescent="0.2">
      <c r="A327" s="255" t="str">
        <f>výpočty!$R$15</f>
        <v>Poziomy (z lewej strony na prawą)</v>
      </c>
      <c r="B327" s="256" t="str">
        <f>výpočty!$R$10</f>
        <v>Do ślimaka roletowego</v>
      </c>
      <c r="C327" t="str">
        <f>výpočty!$R$3</f>
        <v>TOP Basic - wpuszczany do przykręcenia plastikowy</v>
      </c>
      <c r="D327" s="36" t="str">
        <f>výpočty!$W$8</f>
        <v>Czereśnia (E23)</v>
      </c>
      <c r="E327" t="s">
        <v>2131</v>
      </c>
      <c r="F327">
        <v>1</v>
      </c>
      <c r="G327" t="str">
        <f>Překlady!$A$147</f>
        <v>Systemu TOP BASIC nie da się zastosować z ślimakiem roletowym. Zalecamy wybrać wersję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Systemu TOP BASIC nie da się zastosować z ślimakiem roletowym. Zalecamy wybrać wersję TOP.</v>
      </c>
      <c r="N327">
        <f t="shared" si="17"/>
        <v>1</v>
      </c>
    </row>
    <row r="328" spans="1:14" x14ac:dyDescent="0.2">
      <c r="A328" s="255" t="str">
        <f>výpočty!$R$15</f>
        <v>Poziomy (z lewej strony na prawą)</v>
      </c>
      <c r="B328" s="256" t="str">
        <f>výpočty!$R$10</f>
        <v>Do ślimaka roletowego</v>
      </c>
      <c r="C328" t="str">
        <f>výpočty!$R$3</f>
        <v>TOP Basic - wpuszczany do przykręcenia plastikowy</v>
      </c>
      <c r="D328" s="36" t="str">
        <f>výpočty!$W$9</f>
        <v>Klon (E23)</v>
      </c>
      <c r="E328" t="s">
        <v>2131</v>
      </c>
      <c r="F328">
        <v>1</v>
      </c>
      <c r="G328" t="str">
        <f>Překlady!$A$147</f>
        <v>Systemu TOP BASIC nie da się zastosować z ślimakiem roletowym. Zalecamy wybrać wersję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Systemu TOP BASIC nie da się zastosować z ślimakiem roletowym. Zalecamy wybrać wersję TOP.</v>
      </c>
      <c r="N328">
        <f t="shared" si="17"/>
        <v>1</v>
      </c>
    </row>
    <row r="329" spans="1:14" x14ac:dyDescent="0.2">
      <c r="A329" s="255" t="str">
        <f>výpočty!$R$15</f>
        <v>Poziomy (z lewej strony na prawą)</v>
      </c>
      <c r="B329" s="256" t="str">
        <f>výpočty!$R$10</f>
        <v>Do ślimaka roletowego</v>
      </c>
      <c r="C329" t="str">
        <f>výpočty!$R$3</f>
        <v>TOP Basic - wpuszczany do przykręcenia plastikowy</v>
      </c>
      <c r="D329" s="36" t="str">
        <f>výpočty!$W$10</f>
        <v>Brzoza (E23)</v>
      </c>
      <c r="E329" t="s">
        <v>2131</v>
      </c>
      <c r="F329">
        <v>1</v>
      </c>
      <c r="G329" t="str">
        <f>Překlady!$A$147</f>
        <v>Systemu TOP BASIC nie da się zastosować z ślimakiem roletowym. Zalecamy wybrać wersję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Systemu TOP BASIC nie da się zastosować z ślimakiem roletowym. Zalecamy wybrać wersję TOP.</v>
      </c>
      <c r="N329">
        <f t="shared" si="17"/>
        <v>1</v>
      </c>
    </row>
    <row r="330" spans="1:14" x14ac:dyDescent="0.2">
      <c r="A330" s="255" t="str">
        <f>výpočty!$R$15</f>
        <v>Poziomy (z lewej strony na prawą)</v>
      </c>
      <c r="B330" s="256" t="str">
        <f>výpočty!$R$10</f>
        <v>Do ślimaka roletowego</v>
      </c>
      <c r="C330" t="str">
        <f>výpočty!$R$3</f>
        <v>TOP Basic - wpuszczany do przykręcenia plastikowy</v>
      </c>
      <c r="D330" s="36" t="str">
        <f>výpočty!$W$11</f>
        <v>Czereśnia havana (E23)</v>
      </c>
      <c r="E330" t="s">
        <v>2131</v>
      </c>
      <c r="F330">
        <v>1</v>
      </c>
      <c r="G330" t="str">
        <f>Překlady!$A$147</f>
        <v>Systemu TOP BASIC nie da się zastosować z ślimakiem roletowym. Zalecamy wybrać wersję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Systemu TOP BASIC nie da się zastosować z ślimakiem roletowym. Zalecamy wybrać wersję TOP.</v>
      </c>
      <c r="N330">
        <f t="shared" si="17"/>
        <v>1</v>
      </c>
    </row>
    <row r="331" spans="1:14" x14ac:dyDescent="0.2">
      <c r="A331" s="255" t="str">
        <f>výpočty!$R$15</f>
        <v>Poziomy (z lewej strony na prawą)</v>
      </c>
      <c r="B331" s="256" t="str">
        <f>výpočty!$R$10</f>
        <v>Do ślimaka roletowego</v>
      </c>
      <c r="C331" t="str">
        <f>výpočty!$R$3</f>
        <v>TOP Basic - wpuszczany do przykręcenia plastikowy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>Systemu TOP BASIC nie da się zastosować z ślimakiem roletowym. Zalecamy wybrać wersję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Systemu TOP BASIC nie da się zastosować z ślimakiem roletowym. Zalecamy wybrać wersję TOP.</v>
      </c>
      <c r="N331">
        <f t="shared" si="17"/>
        <v>1</v>
      </c>
    </row>
    <row r="332" spans="1:14" x14ac:dyDescent="0.2">
      <c r="A332" s="255" t="str">
        <f>výpočty!$R$15</f>
        <v>Poziomy (z lewej strony na prawą)</v>
      </c>
      <c r="B332" s="256" t="str">
        <f>výpočty!$R$10</f>
        <v>Do ślimaka roletowego</v>
      </c>
      <c r="C332" t="str">
        <f>výpočty!$R$3</f>
        <v>TOP Basic - wpuszczany do przykręcenia plastikowy</v>
      </c>
      <c r="D332" s="36" t="str">
        <f>výpočty!$W$14</f>
        <v>śnieżno biala mat (E9)</v>
      </c>
      <c r="E332" t="s">
        <v>2131</v>
      </c>
      <c r="F332">
        <v>1</v>
      </c>
      <c r="G332" s="321" t="str">
        <f>Překlady!$A$142</f>
        <v>Kolor śnieżno biały w profilu E9 można łączyć jedynie z prowadzeniem Classic i systemem nawijania do tyłu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Kolor śnieżno biały w profilu E9 można łączyć jedynie z prowadzeniem Classic i systemem nawijania do tyłu</v>
      </c>
      <c r="N332">
        <f t="shared" si="17"/>
        <v>1</v>
      </c>
    </row>
    <row r="333" spans="1:14" x14ac:dyDescent="0.2">
      <c r="A333" s="255" t="str">
        <f>výpočty!$R$15</f>
        <v>Poziomy (z lewej strony na prawą)</v>
      </c>
      <c r="B333" s="256" t="str">
        <f>výpočty!$R$10</f>
        <v>Do ślimaka roletowego</v>
      </c>
      <c r="C333" t="str">
        <f>výpočty!$R$3</f>
        <v>TOP Basic - wpuszczany do przykręcenia plastikowy</v>
      </c>
      <c r="D333" s="36" t="str">
        <f>výpočty!$W$15</f>
        <v>Aluminowa plastik (E4)</v>
      </c>
      <c r="E333" t="s">
        <v>2131</v>
      </c>
      <c r="F333">
        <v>1</v>
      </c>
      <c r="G333" s="321" t="str">
        <f>Překlady!$A$143</f>
        <v>Kolor aluminium plastik w profilu E4 jest idealny do poziomych rozwiązań w kombinacji z prowadzeniem Classic z systemem nawijania do tyłu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Kolor aluminium plastik w profilu E4 jest idealny do poziomych rozwiązań w kombinacji z prowadzeniem Classic z systemem nawijania do tyłu</v>
      </c>
      <c r="N333">
        <f t="shared" si="17"/>
        <v>1</v>
      </c>
    </row>
    <row r="334" spans="1:14" x14ac:dyDescent="0.2">
      <c r="A334" s="255" t="str">
        <f>výpočty!$R$15</f>
        <v>Poziomy (z lewej strony na prawą)</v>
      </c>
      <c r="B334" s="256" t="str">
        <f>výpočty!$R$10</f>
        <v>Do ślimaka roletowego</v>
      </c>
      <c r="C334" t="str">
        <f>výpočty!$R$3</f>
        <v>TOP Basic - wpuszczany do przykręcenia plastikowy</v>
      </c>
      <c r="D334" s="36">
        <f>výpočty!$W$17</f>
        <v>0</v>
      </c>
      <c r="E334" t="s">
        <v>2131</v>
      </c>
      <c r="F334">
        <v>1</v>
      </c>
      <c r="G334" t="str">
        <f>Překlady!$A$147</f>
        <v>Systemu TOP BASIC nie da się zastosować z ślimakiem roletowym. Zalecamy wybrać wersję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Systemu TOP BASIC nie da się zastosować z ślimakiem roletowym. Zalecamy wybrać wersję TOP.</v>
      </c>
      <c r="N334">
        <f t="shared" si="17"/>
        <v>1</v>
      </c>
    </row>
    <row r="335" spans="1:14" x14ac:dyDescent="0.2">
      <c r="A335" s="255" t="str">
        <f>výpočty!$R$15</f>
        <v>Poziomy (z lewej strony na prawą)</v>
      </c>
      <c r="B335" s="256" t="str">
        <f>výpočty!$R$10</f>
        <v>Do ślimaka roletowego</v>
      </c>
      <c r="C335" t="str">
        <f>výpočty!$R$3</f>
        <v>TOP Basic - wpuszczany do przykręcenia plastikowy</v>
      </c>
      <c r="D335" s="36">
        <f>výpočty!$W$18</f>
        <v>0</v>
      </c>
      <c r="E335" t="s">
        <v>2131</v>
      </c>
      <c r="F335">
        <v>1</v>
      </c>
      <c r="G335" t="str">
        <f>Překlady!$A$147</f>
        <v>Systemu TOP BASIC nie da się zastosować z ślimakiem roletowym. Zalecamy wybrać wersję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Systemu TOP BASIC nie da się zastosować z ślimakiem roletowym. Zalecamy wybrać wersję TOP.</v>
      </c>
      <c r="N335">
        <f t="shared" si="17"/>
        <v>1</v>
      </c>
    </row>
    <row r="336" spans="1:14" x14ac:dyDescent="0.2">
      <c r="A336" s="255" t="str">
        <f>výpočty!$R$15</f>
        <v>Poziomy (z lewej strony na prawą)</v>
      </c>
      <c r="B336" s="256" t="str">
        <f>výpočty!$R$10</f>
        <v>Do ślimaka roletowego</v>
      </c>
      <c r="C336" t="str">
        <f>výpočty!$R$3</f>
        <v>TOP Basic - wpuszczany do przykręcenia plastikowy</v>
      </c>
      <c r="D336" s="36" t="str">
        <f>výpočty!$W$19</f>
        <v>Aluminium szerokość 25 mm (metallic-line)</v>
      </c>
      <c r="E336" t="s">
        <v>2131</v>
      </c>
      <c r="F336">
        <v>1</v>
      </c>
      <c r="G336" t="str">
        <f>Překlady!$A$147</f>
        <v>Systemu TOP BASIC nie da się zastosować z ślimakiem roletowym. Zalecamy wybrać wersję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Systemu TOP BASIC nie da się zastosować z ślimakiem roletowym. Zalecamy wybrać wersję TOP.</v>
      </c>
      <c r="N336">
        <f t="shared" si="17"/>
        <v>1</v>
      </c>
    </row>
    <row r="337" spans="1:14" ht="13.5" thickBot="1" x14ac:dyDescent="0.25">
      <c r="A337" s="255" t="str">
        <f>výpočty!$R$15</f>
        <v>Poziomy (z lewej strony na prawą)</v>
      </c>
      <c r="B337" s="256" t="str">
        <f>výpočty!$R$10</f>
        <v>Do ślimaka roletowego</v>
      </c>
      <c r="C337" t="str">
        <f>výpočty!$R$3</f>
        <v>TOP Basic - wpuszczany do przykręcenia plastikowy</v>
      </c>
      <c r="D337" s="27" t="str">
        <f>výpočty!$W$20</f>
        <v>Nierdz. szerokość 25 mm (metallic-line)</v>
      </c>
      <c r="E337" t="s">
        <v>2131</v>
      </c>
      <c r="F337">
        <v>1</v>
      </c>
      <c r="G337" t="str">
        <f>Překlady!$A$147</f>
        <v>Systemu TOP BASIC nie da się zastosować z ślimakiem roletowym. Zalecamy wybrać wersję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Systemu TOP BASIC nie da się zastosować z ślimakiem roletowym. Zalecamy wybrać wersję TOP.</v>
      </c>
      <c r="N337">
        <f t="shared" si="17"/>
        <v>1</v>
      </c>
    </row>
    <row r="338" spans="1:14" x14ac:dyDescent="0.2">
      <c r="A338" s="255" t="str">
        <f>výpočty!$R$15</f>
        <v>Poziomy (z lewej strony na prawą)</v>
      </c>
      <c r="B338" s="256" t="str">
        <f>výpočty!$R$10</f>
        <v>Do ślimaka roletowego</v>
      </c>
      <c r="C338" t="str">
        <f>výpočty!$R$4</f>
        <v>Classic - wpuszczany do zafrezowania</v>
      </c>
      <c r="D338" s="26" t="str">
        <f>výpočty!$W$3</f>
        <v>Czarny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Poziomy (z lewej strony na prawą)</v>
      </c>
      <c r="B339" s="256" t="str">
        <f>výpočty!$R$10</f>
        <v>Do ślimaka roletowego</v>
      </c>
      <c r="C339" t="str">
        <f>výpočty!$R$4</f>
        <v>Classic - wpuszczany do zafrezowania</v>
      </c>
      <c r="D339" s="36" t="str">
        <f>výpočty!$W$4</f>
        <v>Biały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Poziomy (z lewej strony na prawą)</v>
      </c>
      <c r="B340" s="256" t="str">
        <f>výpočty!$R$10</f>
        <v>Do ślimaka roletowego</v>
      </c>
      <c r="C340" t="str">
        <f>výpočty!$R$4</f>
        <v>Classic - wpuszczany do zafrezowania</v>
      </c>
      <c r="D340" s="36" t="str">
        <f>výpočty!$W$5</f>
        <v>Szary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Poziomy (z lewej strony na prawą)</v>
      </c>
      <c r="B341" s="256" t="str">
        <f>výpočty!$R$10</f>
        <v>Do ślimaka roletowego</v>
      </c>
      <c r="C341" t="str">
        <f>výpočty!$R$4</f>
        <v>Classic - wpuszczany do zafrezowania</v>
      </c>
      <c r="D341" s="36" t="str">
        <f>výpočty!$W$6</f>
        <v>Aluminowa plastik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Poziomy (z lewej strony na prawą)</v>
      </c>
      <c r="B342" s="256" t="str">
        <f>výpočty!$R$10</f>
        <v>Do ślimaka roletowego</v>
      </c>
      <c r="C342" t="str">
        <f>výpočty!$R$4</f>
        <v>Classic - wpuszczany do zafrezowania</v>
      </c>
      <c r="D342" s="36" t="str">
        <f>výpočty!$W$7</f>
        <v>Buk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Poziomy (z lewej strony na prawą)</v>
      </c>
      <c r="B343" s="256" t="str">
        <f>výpočty!$R$10</f>
        <v>Do ślimaka roletowego</v>
      </c>
      <c r="C343" t="str">
        <f>výpočty!$R$4</f>
        <v>Classic - wpuszczany do zafrezowania</v>
      </c>
      <c r="D343" s="36" t="str">
        <f>výpočty!$W$8</f>
        <v>Czereśnia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Poziomy (z lewej strony na prawą)</v>
      </c>
      <c r="B344" s="256" t="str">
        <f>výpočty!$R$10</f>
        <v>Do ślimaka roletowego</v>
      </c>
      <c r="C344" t="str">
        <f>výpočty!$R$4</f>
        <v>Classic - wpuszczany do zafrezowania</v>
      </c>
      <c r="D344" s="36" t="str">
        <f>výpočty!$W$9</f>
        <v>Klon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Poziomy (z lewej strony na prawą)</v>
      </c>
      <c r="B345" s="256" t="str">
        <f>výpočty!$R$10</f>
        <v>Do ślimaka roletowego</v>
      </c>
      <c r="C345" t="str">
        <f>výpočty!$R$4</f>
        <v>Classic - wpuszczany do zafrezowania</v>
      </c>
      <c r="D345" s="36" t="str">
        <f>výpočty!$W$10</f>
        <v>Brzoza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Poziomy (z lewej strony na prawą)</v>
      </c>
      <c r="B346" s="256" t="str">
        <f>výpočty!$R$10</f>
        <v>Do ślimaka roletowego</v>
      </c>
      <c r="C346" t="str">
        <f>výpočty!$R$4</f>
        <v>Classic - wpuszczany do zafrezowania</v>
      </c>
      <c r="D346" s="36" t="str">
        <f>výpočty!$W$11</f>
        <v>Czereśnia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Poziomy (z lewej strony na prawą)</v>
      </c>
      <c r="B347" s="256" t="str">
        <f>výpočty!$R$10</f>
        <v>Do ślimaka roletowego</v>
      </c>
      <c r="C347" t="str">
        <f>výpočty!$R$4</f>
        <v>Classic - wpuszczany do zafrezowania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Poziomy (z lewej strony na prawą)</v>
      </c>
      <c r="B348" s="256" t="str">
        <f>výpočty!$R$10</f>
        <v>Do ślimaka roletowego</v>
      </c>
      <c r="C348" t="str">
        <f>výpočty!$R$4</f>
        <v>Classic - wpuszczany do zafrezowania</v>
      </c>
      <c r="D348" s="350" t="str">
        <f>výpočty!$W$14</f>
        <v>śnieżno biala mat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Poziomy (z lewej strony na prawą)</v>
      </c>
      <c r="B349" s="256" t="str">
        <f>výpočty!$R$10</f>
        <v>Do ślimaka roletowego</v>
      </c>
      <c r="C349" t="str">
        <f>výpočty!$R$4</f>
        <v>Classic - wpuszczany do zafrezowania</v>
      </c>
      <c r="D349" s="36" t="str">
        <f>výpočty!$W$15</f>
        <v>Aluminowa plastik (E4)</v>
      </c>
      <c r="E349" s="321" t="s">
        <v>2131</v>
      </c>
      <c r="F349" s="321">
        <v>1</v>
      </c>
      <c r="G349" s="321" t="str">
        <f>Překlady!$A$143</f>
        <v>Kolor aluminium plastik w profilu E4 jest idealny do poziomych rozwiązań w kombinacji z prowadzeniem Classic z systemem nawijania do tyłu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Kolor aluminium plastik w profilu E4 jest idealny do poziomych rozwiązań w kombinacji z prowadzeniem Classic z systemem nawijania do tyłu</v>
      </c>
      <c r="N349">
        <f t="shared" si="17"/>
        <v>1</v>
      </c>
    </row>
    <row r="350" spans="1:14" x14ac:dyDescent="0.2">
      <c r="A350" s="255" t="str">
        <f>výpočty!$R$15</f>
        <v>Poziomy (z lewej strony na prawą)</v>
      </c>
      <c r="B350" s="256" t="str">
        <f>výpočty!$R$10</f>
        <v>Do ślimaka roletowego</v>
      </c>
      <c r="C350" t="str">
        <f>výpočty!$R$4</f>
        <v>Classic - wpuszczany do zafrezowania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Poziomy (z lewej strony na prawą)</v>
      </c>
      <c r="B351" s="256" t="str">
        <f>výpočty!$R$10</f>
        <v>Do ślimaka roletowego</v>
      </c>
      <c r="C351" t="str">
        <f>výpočty!$R$4</f>
        <v>Classic - wpuszczany do zafrezowania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Poziomy (z lewej strony na prawą)</v>
      </c>
      <c r="B352" s="256" t="str">
        <f>výpočty!$R$10</f>
        <v>Do ślimaka roletowego</v>
      </c>
      <c r="C352" t="str">
        <f>výpočty!$R$4</f>
        <v>Classic - wpuszczany do zafrezowania</v>
      </c>
      <c r="D352" s="36" t="str">
        <f>výpočty!$W$19</f>
        <v>Aluminium szerokość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Poziomy (z lewej strony na prawą)</v>
      </c>
      <c r="B353" s="256" t="str">
        <f>výpočty!$R$10</f>
        <v>Do ślimaka roletowego</v>
      </c>
      <c r="C353" t="str">
        <f>výpočty!$R$4</f>
        <v>Classic - wpuszczany do zafrezowania</v>
      </c>
      <c r="D353" s="27" t="str">
        <f>výpočty!$W$20</f>
        <v>Nierdz. szerokość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Poziomy (z lewej strony na prawą)</v>
      </c>
      <c r="B354" s="256" t="str">
        <f>výpočty!$R$10</f>
        <v>Do ślimaka roletowego</v>
      </c>
      <c r="C354" t="str">
        <f>výpočty!$R$5</f>
        <v>Frame - nakładany z listwą maskującą</v>
      </c>
      <c r="D354" s="26" t="str">
        <f>výpočty!$W$3</f>
        <v>Czarny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Poziomy (z lewej strony na prawą)</v>
      </c>
      <c r="B355" s="256" t="str">
        <f>výpočty!$R$10</f>
        <v>Do ślimaka roletowego</v>
      </c>
      <c r="C355" t="str">
        <f>výpočty!$R$5</f>
        <v>Frame - nakładany z listwą maskującą</v>
      </c>
      <c r="D355" s="36" t="str">
        <f>výpočty!$W$4</f>
        <v>Biały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Poziomy (z lewej strony na prawą)</v>
      </c>
      <c r="B356" s="256" t="str">
        <f>výpočty!$R$10</f>
        <v>Do ślimaka roletowego</v>
      </c>
      <c r="C356" t="str">
        <f>výpočty!$R$5</f>
        <v>Frame - nakładany z listwą maskującą</v>
      </c>
      <c r="D356" s="36" t="str">
        <f>výpočty!$W$5</f>
        <v>Szary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Poziomy (z lewej strony na prawą)</v>
      </c>
      <c r="B357" s="256" t="str">
        <f>výpočty!$R$10</f>
        <v>Do ślimaka roletowego</v>
      </c>
      <c r="C357" t="str">
        <f>výpočty!$R$5</f>
        <v>Frame - nakładany z listwą maskującą</v>
      </c>
      <c r="D357" s="36" t="str">
        <f>výpočty!$W$6</f>
        <v>Aluminowa plastik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Poziomy (z lewej strony na prawą)</v>
      </c>
      <c r="B358" s="256" t="str">
        <f>výpočty!$R$10</f>
        <v>Do ślimaka roletowego</v>
      </c>
      <c r="C358" t="str">
        <f>výpočty!$R$5</f>
        <v>Frame - nakładany z listwą maskującą</v>
      </c>
      <c r="D358" s="36" t="str">
        <f>výpočty!$W$7</f>
        <v>Buk (E23)</v>
      </c>
      <c r="E358" t="s">
        <v>2131</v>
      </c>
      <c r="F358">
        <v>1</v>
      </c>
      <c r="G358" s="321" t="str">
        <f>Překlady!$A$145</f>
        <v>Koloru BUK w profilu E23 nie da się łączyć z prowadzeniem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Koloru BUK w profilu E23 nie da się łączyć z prowadzeniem FRAME.</v>
      </c>
      <c r="N358">
        <f t="shared" si="17"/>
        <v>1</v>
      </c>
    </row>
    <row r="359" spans="1:14" x14ac:dyDescent="0.2">
      <c r="A359" s="255" t="str">
        <f>výpočty!$R$15</f>
        <v>Poziomy (z lewej strony na prawą)</v>
      </c>
      <c r="B359" s="256" t="str">
        <f>výpočty!$R$10</f>
        <v>Do ślimaka roletowego</v>
      </c>
      <c r="C359" t="str">
        <f>výpočty!$R$5</f>
        <v>Frame - nakładany z listwą maskującą</v>
      </c>
      <c r="D359" s="36" t="str">
        <f>výpočty!$W$8</f>
        <v>Czereśnia (E23)</v>
      </c>
      <c r="E359" t="s">
        <v>2130</v>
      </c>
      <c r="F359">
        <v>1</v>
      </c>
      <c r="G359" t="str">
        <f>Překlady!$A$176</f>
        <v>Koloru Czereśnia w profilu E23 nie da się łączyć z prowadzeniem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Koloru Czereśnia w profilu E23 nie da się łączyć z prowadzeniem FRAME.</v>
      </c>
      <c r="N359">
        <f t="shared" si="17"/>
        <v>1</v>
      </c>
    </row>
    <row r="360" spans="1:14" x14ac:dyDescent="0.2">
      <c r="A360" s="255" t="str">
        <f>výpočty!$R$15</f>
        <v>Poziomy (z lewej strony na prawą)</v>
      </c>
      <c r="B360" s="256" t="str">
        <f>výpočty!$R$10</f>
        <v>Do ślimaka roletowego</v>
      </c>
      <c r="C360" t="str">
        <f>výpočty!$R$5</f>
        <v>Frame - nakładany z listwą maskującą</v>
      </c>
      <c r="D360" s="36" t="str">
        <f>výpočty!$W$9</f>
        <v>Klon (E23)</v>
      </c>
      <c r="E360" t="s">
        <v>2130</v>
      </c>
      <c r="F360">
        <v>1</v>
      </c>
      <c r="G360" t="str">
        <f>Překlady!$A$177</f>
        <v>Koloru Klon w profilu E23 nie da się łączyć z prowadzeniem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Koloru Klon w profilu E23 nie da się łączyć z prowadzeniem FRAME.</v>
      </c>
      <c r="N360">
        <f t="shared" si="17"/>
        <v>1</v>
      </c>
    </row>
    <row r="361" spans="1:14" x14ac:dyDescent="0.2">
      <c r="A361" s="255" t="str">
        <f>výpočty!$R$15</f>
        <v>Poziomy (z lewej strony na prawą)</v>
      </c>
      <c r="B361" s="256" t="str">
        <f>výpočty!$R$10</f>
        <v>Do ślimaka roletowego</v>
      </c>
      <c r="C361" t="str">
        <f>výpočty!$R$5</f>
        <v>Frame - nakładany z listwą maskującą</v>
      </c>
      <c r="D361" s="36" t="str">
        <f>výpočty!$W$10</f>
        <v>Brzoza (E23)</v>
      </c>
      <c r="E361" t="s">
        <v>2130</v>
      </c>
      <c r="F361">
        <v>1</v>
      </c>
      <c r="G361" t="str">
        <f>Překlady!$A$175</f>
        <v>Koloru Brzoza w profilu E23 nie da się łączyć z prowadzeniem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Koloru Brzoza w profilu E23 nie da się łączyć z prowadzeniem FRAME.</v>
      </c>
      <c r="N361">
        <f t="shared" si="17"/>
        <v>1</v>
      </c>
    </row>
    <row r="362" spans="1:14" x14ac:dyDescent="0.2">
      <c r="A362" s="255" t="str">
        <f>výpočty!$R$15</f>
        <v>Poziomy (z lewej strony na prawą)</v>
      </c>
      <c r="B362" s="256" t="str">
        <f>výpočty!$R$10</f>
        <v>Do ślimaka roletowego</v>
      </c>
      <c r="C362" t="str">
        <f>výpočty!$R$5</f>
        <v>Frame - nakładany z listwą maskującą</v>
      </c>
      <c r="D362" s="36" t="str">
        <f>výpočty!$W$11</f>
        <v>Czereśnia havana (E23)</v>
      </c>
      <c r="E362" t="s">
        <v>2130</v>
      </c>
      <c r="F362">
        <v>1</v>
      </c>
      <c r="G362" t="str">
        <f>Překlady!$A$170</f>
        <v>Koloru Czereśnia havana w profilu E23 nie da się łączyć z prowadzeniem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Koloru Czereśnia havana w profilu E23 nie da się łączyć z prowadzeniem FRAME.</v>
      </c>
      <c r="N362">
        <f t="shared" si="17"/>
        <v>1</v>
      </c>
    </row>
    <row r="363" spans="1:14" x14ac:dyDescent="0.2">
      <c r="A363" s="255" t="str">
        <f>výpočty!$R$15</f>
        <v>Poziomy (z lewej strony na prawą)</v>
      </c>
      <c r="B363" s="256" t="str">
        <f>výpočty!$R$10</f>
        <v>Do ślimaka roletowego</v>
      </c>
      <c r="C363" t="str">
        <f>výpočty!$R$5</f>
        <v>Frame - nakładany z listwą maskującą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Poziomy (z lewej strony na prawą)</v>
      </c>
      <c r="B364" s="256" t="str">
        <f>výpočty!$R$10</f>
        <v>Do ślimaka roletowego</v>
      </c>
      <c r="C364" t="str">
        <f>výpočty!$R$5</f>
        <v>Frame - nakładany z listwą maskującą</v>
      </c>
      <c r="D364" s="36" t="str">
        <f>výpočty!$W$14</f>
        <v>śnieżno biala mat (E9)</v>
      </c>
      <c r="E364" s="321" t="s">
        <v>2131</v>
      </c>
      <c r="F364" s="321">
        <v>1</v>
      </c>
      <c r="G364" s="321" t="str">
        <f>Překlady!$A$142</f>
        <v>Kolor śnieżno biały w profilu E9 można łączyć jedynie z prowadzeniem Classic i systemem nawijania do tyłu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Kolor śnieżno biały w profilu E9 można łączyć jedynie z prowadzeniem Classic i systemem nawijania do tyłu</v>
      </c>
      <c r="N364">
        <f t="shared" si="17"/>
        <v>1</v>
      </c>
    </row>
    <row r="365" spans="1:14" x14ac:dyDescent="0.2">
      <c r="A365" s="255" t="str">
        <f>výpočty!$R$15</f>
        <v>Poziomy (z lewej strony na prawą)</v>
      </c>
      <c r="B365" s="256" t="str">
        <f>výpočty!$R$10</f>
        <v>Do ślimaka roletowego</v>
      </c>
      <c r="C365" t="str">
        <f>výpočty!$R$5</f>
        <v>Frame - nakładany z listwą maskującą</v>
      </c>
      <c r="D365" s="36" t="str">
        <f>výpočty!$W$15</f>
        <v>Aluminowa plastik (E4)</v>
      </c>
      <c r="E365" t="s">
        <v>2131</v>
      </c>
      <c r="F365">
        <v>1</v>
      </c>
      <c r="G365" s="321" t="str">
        <f>Překlady!$A$143</f>
        <v>Kolor aluminium plastik w profilu E4 jest idealny do poziomych rozwiązań w kombinacji z prowadzeniem Classic z systemem nawijania do tyłu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Kolor aluminium plastik w profilu E4 jest idealny do poziomych rozwiązań w kombinacji z prowadzeniem Classic z systemem nawijania do tyłu</v>
      </c>
      <c r="N365">
        <f t="shared" si="17"/>
        <v>1</v>
      </c>
    </row>
    <row r="366" spans="1:14" x14ac:dyDescent="0.2">
      <c r="A366" s="255" t="str">
        <f>výpočty!$R$15</f>
        <v>Poziomy (z lewej strony na prawą)</v>
      </c>
      <c r="B366" s="256" t="str">
        <f>výpočty!$R$10</f>
        <v>Do ślimaka roletowego</v>
      </c>
      <c r="C366" t="str">
        <f>výpočty!$R$5</f>
        <v>Frame - nakładany z listwą maskującą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Poziomy (z lewej strony na prawą)</v>
      </c>
      <c r="B367" s="256" t="str">
        <f>výpočty!$R$10</f>
        <v>Do ślimaka roletowego</v>
      </c>
      <c r="C367" t="str">
        <f>výpočty!$R$5</f>
        <v>Frame - nakładany z listwą maskującą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Poziomy (z lewej strony na prawą)</v>
      </c>
      <c r="B368" s="256" t="str">
        <f>výpočty!$R$10</f>
        <v>Do ślimaka roletowego</v>
      </c>
      <c r="C368" t="str">
        <f>výpočty!$R$5</f>
        <v>Frame - nakładany z listwą maskującą</v>
      </c>
      <c r="D368" s="36" t="str">
        <f>výpočty!$W$19</f>
        <v>Aluminium szerokość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Poziomy (z lewej strony na prawą)</v>
      </c>
      <c r="B369" s="256" t="str">
        <f>výpočty!$R$10</f>
        <v>Do ślimaka roletowego</v>
      </c>
      <c r="C369" t="str">
        <f>výpočty!$R$5</f>
        <v>Frame - nakładany z listwą maskującą</v>
      </c>
      <c r="D369" s="27" t="str">
        <f>výpočty!$W$20</f>
        <v>Nierdz. szerokość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Poziomy (z lewej strony na prawą)</v>
      </c>
      <c r="B370" s="256" t="str">
        <f>výpočty!$R$10</f>
        <v>Do ślimaka roletowego</v>
      </c>
      <c r="C370" t="str">
        <f>výpočty!$R$6</f>
        <v>TOP - wpuszczany do przykręcenia metalowy z listwą maskującą</v>
      </c>
      <c r="D370" s="26" t="str">
        <f>výpočty!$W$3</f>
        <v>Czarny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Poziomy (z lewej strony na prawą)</v>
      </c>
      <c r="B371" s="256" t="str">
        <f>výpočty!$R$10</f>
        <v>Do ślimaka roletowego</v>
      </c>
      <c r="C371" t="str">
        <f>výpočty!$R$6</f>
        <v>TOP - wpuszczany do przykręcenia metalowy z listwą maskującą</v>
      </c>
      <c r="D371" s="36" t="str">
        <f>výpočty!$W$4</f>
        <v>Biały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Poziomy (z lewej strony na prawą)</v>
      </c>
      <c r="B372" s="256" t="str">
        <f>výpočty!$R$10</f>
        <v>Do ślimaka roletowego</v>
      </c>
      <c r="C372" t="str">
        <f>výpočty!$R$6</f>
        <v>TOP - wpuszczany do przykręcenia metalowy z listwą maskującą</v>
      </c>
      <c r="D372" s="36" t="str">
        <f>výpočty!$W$5</f>
        <v>Szary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Poziomy (z lewej strony na prawą)</v>
      </c>
      <c r="B373" s="256" t="str">
        <f>výpočty!$R$10</f>
        <v>Do ślimaka roletowego</v>
      </c>
      <c r="C373" t="str">
        <f>výpočty!$R$6</f>
        <v>TOP - wpuszczany do przykręcenia metalowy z listwą maskującą</v>
      </c>
      <c r="D373" s="36" t="str">
        <f>výpočty!$W$6</f>
        <v>Aluminowa plastik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Poziomy (z lewej strony na prawą)</v>
      </c>
      <c r="B374" s="256" t="str">
        <f>výpočty!$R$10</f>
        <v>Do ślimaka roletowego</v>
      </c>
      <c r="C374" t="str">
        <f>výpočty!$R$6</f>
        <v>TOP - wpuszczany do przykręcenia metalowy z listwą maskującą</v>
      </c>
      <c r="D374" s="36" t="str">
        <f>výpočty!$W$7</f>
        <v>Buk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Poziomy (z lewej strony na prawą)</v>
      </c>
      <c r="B375" s="256" t="str">
        <f>výpočty!$R$10</f>
        <v>Do ślimaka roletowego</v>
      </c>
      <c r="C375" t="str">
        <f>výpočty!$R$6</f>
        <v>TOP - wpuszczany do przykręcenia metalowy z listwą maskującą</v>
      </c>
      <c r="D375" s="36" t="str">
        <f>výpočty!$W$8</f>
        <v>Czereśnia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Poziomy (z lewej strony na prawą)</v>
      </c>
      <c r="B376" s="256" t="str">
        <f>výpočty!$R$10</f>
        <v>Do ślimaka roletowego</v>
      </c>
      <c r="C376" t="str">
        <f>výpočty!$R$6</f>
        <v>TOP - wpuszczany do przykręcenia metalowy z listwą maskującą</v>
      </c>
      <c r="D376" s="36" t="str">
        <f>výpočty!$W$9</f>
        <v>Klon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Poziomy (z lewej strony na prawą)</v>
      </c>
      <c r="B377" s="256" t="str">
        <f>výpočty!$R$10</f>
        <v>Do ślimaka roletowego</v>
      </c>
      <c r="C377" t="str">
        <f>výpočty!$R$6</f>
        <v>TOP - wpuszczany do przykręcenia metalowy z listwą maskującą</v>
      </c>
      <c r="D377" s="36" t="str">
        <f>výpočty!$W$10</f>
        <v>Brzoza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Poziomy (z lewej strony na prawą)</v>
      </c>
      <c r="B378" s="256" t="str">
        <f>výpočty!$R$10</f>
        <v>Do ślimaka roletowego</v>
      </c>
      <c r="C378" t="str">
        <f>výpočty!$R$6</f>
        <v>TOP - wpuszczany do przykręcenia metalowy z listwą maskującą</v>
      </c>
      <c r="D378" s="36" t="str">
        <f>výpočty!$W$11</f>
        <v>Czereśnia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Poziomy (z lewej strony na prawą)</v>
      </c>
      <c r="B379" s="256" t="str">
        <f>výpočty!$R$10</f>
        <v>Do ślimaka roletowego</v>
      </c>
      <c r="C379" t="str">
        <f>výpočty!$R$6</f>
        <v>TOP - wpuszczany do przykręcenia metalowy z listwą maskującą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Poziomy (z lewej strony na prawą)</v>
      </c>
      <c r="B380" s="256" t="str">
        <f>výpočty!$R$10</f>
        <v>Do ślimaka roletowego</v>
      </c>
      <c r="C380" t="str">
        <f>výpočty!$R$6</f>
        <v>TOP - wpuszczany do przykręcenia metalowy z listwą maskującą</v>
      </c>
      <c r="D380" s="350" t="str">
        <f>výpočty!$W$14</f>
        <v>śnieżno biala mat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Poziomy (z lewej strony na prawą)</v>
      </c>
      <c r="B381" s="256" t="str">
        <f>výpočty!$R$10</f>
        <v>Do ślimaka roletowego</v>
      </c>
      <c r="C381" t="str">
        <f>výpočty!$R$6</f>
        <v>TOP - wpuszczany do przykręcenia metalowy z listwą maskującą</v>
      </c>
      <c r="D381" s="36" t="str">
        <f>výpočty!$W$15</f>
        <v>Aluminowa plastik (E4)</v>
      </c>
      <c r="E381" t="s">
        <v>2131</v>
      </c>
      <c r="F381">
        <v>1</v>
      </c>
      <c r="G381" s="321" t="str">
        <f>Překlady!$A$143</f>
        <v>Kolor aluminium plastik w profilu E4 jest idealny do poziomych rozwiązań w kombinacji z prowadzeniem Classic z systemem nawijania do tyłu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Kolor aluminium plastik w profilu E4 jest idealny do poziomych rozwiązań w kombinacji z prowadzeniem Classic z systemem nawijania do tyłu</v>
      </c>
      <c r="N381">
        <f t="shared" si="17"/>
        <v>1</v>
      </c>
    </row>
    <row r="382" spans="1:14" x14ac:dyDescent="0.2">
      <c r="A382" s="255" t="str">
        <f>výpočty!$R$15</f>
        <v>Poziomy (z lewej strony na prawą)</v>
      </c>
      <c r="B382" s="256" t="str">
        <f>výpočty!$R$10</f>
        <v>Do ślimaka roletowego</v>
      </c>
      <c r="C382" t="str">
        <f>výpočty!$R$6</f>
        <v>TOP - wpuszczany do przykręcenia metalowy z listwą maskującą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Poziomy (z lewej strony na prawą)</v>
      </c>
      <c r="B383" s="256" t="str">
        <f>výpočty!$R$10</f>
        <v>Do ślimaka roletowego</v>
      </c>
      <c r="C383" t="str">
        <f>výpočty!$R$6</f>
        <v>TOP - wpuszczany do przykręcenia metalowy z listwą maskującą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Poziomy (z lewej strony na prawą)</v>
      </c>
      <c r="B384" s="256" t="str">
        <f>výpočty!$R$10</f>
        <v>Do ślimaka roletowego</v>
      </c>
      <c r="C384" t="str">
        <f>výpočty!$R$6</f>
        <v>TOP - wpuszczany do przykręcenia metalowy z listwą maskującą</v>
      </c>
      <c r="D384" s="36" t="str">
        <f>výpočty!$W$19</f>
        <v>Aluminium szerokość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Poziomy (z lewej strony na prawą)</v>
      </c>
      <c r="B385" s="256" t="str">
        <f>výpočty!$R$10</f>
        <v>Do ślimaka roletowego</v>
      </c>
      <c r="C385" t="str">
        <f>výpočty!$R$6</f>
        <v>TOP - wpuszczany do przykręcenia metalowy z listwą maskującą</v>
      </c>
      <c r="D385" s="27" t="str">
        <f>výpočty!$W$20</f>
        <v>Nierdz. szerokość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Poziomy (z lewej strony na prawą)</v>
      </c>
      <c r="B386" s="256" t="str">
        <f>výpočty!$R$10</f>
        <v>Do ślimaka roletowego</v>
      </c>
      <c r="C386" t="str">
        <f>výpočty!$R$7</f>
        <v>Nakładany z prowadzeniem metalic-line 29 mm i mechanimem C3</v>
      </c>
      <c r="D386" s="26" t="str">
        <f>výpočty!$W$3</f>
        <v>Czarny (E23)</v>
      </c>
      <c r="E386" t="s">
        <v>2131</v>
      </c>
      <c r="F386">
        <v>1</v>
      </c>
      <c r="G386" s="321" t="str">
        <f>Překlady!$A$153</f>
        <v>U systemu nawijania do tyłu i do ślimaka roletowego nie da się zastosować nakładanego systemu prowadzenia 29 mm i mechanizmu C3. Należy wybrać wersję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U systemu nawijania do tyłu i do ślimaka roletowego nie da się zastosować nakładanego systemu prowadzenia 29 mm i mechanizmu C3. Należy wybrać wersję FRAME.</v>
      </c>
      <c r="N386">
        <f t="shared" si="17"/>
        <v>1</v>
      </c>
    </row>
    <row r="387" spans="1:14" x14ac:dyDescent="0.2">
      <c r="A387" s="255" t="str">
        <f>výpočty!$R$15</f>
        <v>Poziomy (z lewej strony na prawą)</v>
      </c>
      <c r="B387" s="256" t="str">
        <f>výpočty!$R$10</f>
        <v>Do ślimaka roletowego</v>
      </c>
      <c r="C387" t="str">
        <f>výpočty!$R$7</f>
        <v>Nakładany z prowadzeniem metalic-line 29 mm i mechanimem C3</v>
      </c>
      <c r="D387" s="36" t="str">
        <f>výpočty!$W$4</f>
        <v>Biały (E23)</v>
      </c>
      <c r="E387" t="s">
        <v>2131</v>
      </c>
      <c r="F387">
        <v>1</v>
      </c>
      <c r="G387" s="321" t="str">
        <f>Překlady!$A$153</f>
        <v>U systemu nawijania do tyłu i do ślimaka roletowego nie da się zastosować nakładanego systemu prowadzenia 29 mm i mechanizmu C3. Należy wybrać wersję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U systemu nawijania do tyłu i do ślimaka roletowego nie da się zastosować nakładanego systemu prowadzenia 29 mm i mechanizmu C3. Należy wybrać wersję FRAME.</v>
      </c>
      <c r="N387">
        <f t="shared" ref="N387:N450" si="20">F:F</f>
        <v>1</v>
      </c>
    </row>
    <row r="388" spans="1:14" x14ac:dyDescent="0.2">
      <c r="A388" s="255" t="str">
        <f>výpočty!$R$15</f>
        <v>Poziomy (z lewej strony na prawą)</v>
      </c>
      <c r="B388" s="256" t="str">
        <f>výpočty!$R$10</f>
        <v>Do ślimaka roletowego</v>
      </c>
      <c r="C388" t="str">
        <f>výpočty!$R$7</f>
        <v>Nakładany z prowadzeniem metalic-line 29 mm i mechanimem C3</v>
      </c>
      <c r="D388" s="36" t="str">
        <f>výpočty!$W$5</f>
        <v>Szary (E23)</v>
      </c>
      <c r="E388" t="s">
        <v>2131</v>
      </c>
      <c r="F388">
        <v>1</v>
      </c>
      <c r="G388" s="321" t="str">
        <f>Překlady!$A$153</f>
        <v>U systemu nawijania do tyłu i do ślimaka roletowego nie da się zastosować nakładanego systemu prowadzenia 29 mm i mechanizmu C3. Należy wybrać wersję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U systemu nawijania do tyłu i do ślimaka roletowego nie da się zastosować nakładanego systemu prowadzenia 29 mm i mechanizmu C3. Należy wybrać wersję FRAME.</v>
      </c>
      <c r="N388">
        <f t="shared" si="20"/>
        <v>1</v>
      </c>
    </row>
    <row r="389" spans="1:14" x14ac:dyDescent="0.2">
      <c r="A389" s="255" t="str">
        <f>výpočty!$R$15</f>
        <v>Poziomy (z lewej strony na prawą)</v>
      </c>
      <c r="B389" s="256" t="str">
        <f>výpočty!$R$10</f>
        <v>Do ślimaka roletowego</v>
      </c>
      <c r="C389" t="str">
        <f>výpočty!$R$7</f>
        <v>Nakładany z prowadzeniem metalic-line 29 mm i mechanimem C3</v>
      </c>
      <c r="D389" s="36" t="str">
        <f>výpočty!$W$6</f>
        <v>Aluminowa plastik (E23)</v>
      </c>
      <c r="E389" t="s">
        <v>2131</v>
      </c>
      <c r="F389">
        <v>1</v>
      </c>
      <c r="G389" s="321" t="str">
        <f>Překlady!$A$153</f>
        <v>U systemu nawijania do tyłu i do ślimaka roletowego nie da się zastosować nakładanego systemu prowadzenia 29 mm i mechanizmu C3. Należy wybrać wersję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U systemu nawijania do tyłu i do ślimaka roletowego nie da się zastosować nakładanego systemu prowadzenia 29 mm i mechanizmu C3. Należy wybrać wersję FRAME.</v>
      </c>
      <c r="N389">
        <f t="shared" si="20"/>
        <v>1</v>
      </c>
    </row>
    <row r="390" spans="1:14" x14ac:dyDescent="0.2">
      <c r="A390" s="255" t="str">
        <f>výpočty!$R$15</f>
        <v>Poziomy (z lewej strony na prawą)</v>
      </c>
      <c r="B390" s="256" t="str">
        <f>výpočty!$R$10</f>
        <v>Do ślimaka roletowego</v>
      </c>
      <c r="C390" t="str">
        <f>výpočty!$R$7</f>
        <v>Nakładany z prowadzeniem metalic-line 29 mm i mechanimem C3</v>
      </c>
      <c r="D390" s="36" t="str">
        <f>výpočty!$W$7</f>
        <v>Buk (E23)</v>
      </c>
      <c r="E390" t="s">
        <v>2131</v>
      </c>
      <c r="F390">
        <v>1</v>
      </c>
      <c r="G390" s="321" t="str">
        <f>Překlady!$A$153</f>
        <v>U systemu nawijania do tyłu i do ślimaka roletowego nie da się zastosować nakładanego systemu prowadzenia 29 mm i mechanizmu C3. Należy wybrać wersję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U systemu nawijania do tyłu i do ślimaka roletowego nie da się zastosować nakładanego systemu prowadzenia 29 mm i mechanizmu C3. Należy wybrać wersję FRAME.</v>
      </c>
      <c r="N390">
        <f t="shared" si="20"/>
        <v>1</v>
      </c>
    </row>
    <row r="391" spans="1:14" x14ac:dyDescent="0.2">
      <c r="A391" s="255" t="str">
        <f>výpočty!$R$15</f>
        <v>Poziomy (z lewej strony na prawą)</v>
      </c>
      <c r="B391" s="256" t="str">
        <f>výpočty!$R$10</f>
        <v>Do ślimaka roletowego</v>
      </c>
      <c r="C391" t="str">
        <f>výpočty!$R$7</f>
        <v>Nakładany z prowadzeniem metalic-line 29 mm i mechanimem C3</v>
      </c>
      <c r="D391" s="36" t="str">
        <f>výpočty!$W$8</f>
        <v>Czereśnia (E23)</v>
      </c>
      <c r="E391" t="s">
        <v>2131</v>
      </c>
      <c r="F391">
        <v>1</v>
      </c>
      <c r="G391" s="321" t="str">
        <f>Překlady!$A$153</f>
        <v>U systemu nawijania do tyłu i do ślimaka roletowego nie da się zastosować nakładanego systemu prowadzenia 29 mm i mechanizmu C3. Należy wybrać wersję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U systemu nawijania do tyłu i do ślimaka roletowego nie da się zastosować nakładanego systemu prowadzenia 29 mm i mechanizmu C3. Należy wybrać wersję FRAME.</v>
      </c>
      <c r="N391">
        <f t="shared" si="20"/>
        <v>1</v>
      </c>
    </row>
    <row r="392" spans="1:14" x14ac:dyDescent="0.2">
      <c r="A392" s="255" t="str">
        <f>výpočty!$R$15</f>
        <v>Poziomy (z lewej strony na prawą)</v>
      </c>
      <c r="B392" s="256" t="str">
        <f>výpočty!$R$10</f>
        <v>Do ślimaka roletowego</v>
      </c>
      <c r="C392" t="str">
        <f>výpočty!$R$7</f>
        <v>Nakładany z prowadzeniem metalic-line 29 mm i mechanimem C3</v>
      </c>
      <c r="D392" s="36" t="str">
        <f>výpočty!$W$9</f>
        <v>Klon (E23)</v>
      </c>
      <c r="E392" t="s">
        <v>2131</v>
      </c>
      <c r="F392">
        <v>1</v>
      </c>
      <c r="G392" s="321" t="str">
        <f>Překlady!$A$153</f>
        <v>U systemu nawijania do tyłu i do ślimaka roletowego nie da się zastosować nakładanego systemu prowadzenia 29 mm i mechanizmu C3. Należy wybrać wersję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U systemu nawijania do tyłu i do ślimaka roletowego nie da się zastosować nakładanego systemu prowadzenia 29 mm i mechanizmu C3. Należy wybrać wersję FRAME.</v>
      </c>
      <c r="N392">
        <f t="shared" si="20"/>
        <v>1</v>
      </c>
    </row>
    <row r="393" spans="1:14" x14ac:dyDescent="0.2">
      <c r="A393" s="255" t="str">
        <f>výpočty!$R$15</f>
        <v>Poziomy (z lewej strony na prawą)</v>
      </c>
      <c r="B393" s="256" t="str">
        <f>výpočty!$R$10</f>
        <v>Do ślimaka roletowego</v>
      </c>
      <c r="C393" t="str">
        <f>výpočty!$R$7</f>
        <v>Nakładany z prowadzeniem metalic-line 29 mm i mechanimem C3</v>
      </c>
      <c r="D393" s="36" t="str">
        <f>výpočty!$W$10</f>
        <v>Brzoza (E23)</v>
      </c>
      <c r="E393" t="s">
        <v>2131</v>
      </c>
      <c r="F393">
        <v>1</v>
      </c>
      <c r="G393" s="321" t="str">
        <f>Překlady!$A$153</f>
        <v>U systemu nawijania do tyłu i do ślimaka roletowego nie da się zastosować nakładanego systemu prowadzenia 29 mm i mechanizmu C3. Należy wybrać wersję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U systemu nawijania do tyłu i do ślimaka roletowego nie da się zastosować nakładanego systemu prowadzenia 29 mm i mechanizmu C3. Należy wybrać wersję FRAME.</v>
      </c>
      <c r="N393">
        <f t="shared" si="20"/>
        <v>1</v>
      </c>
    </row>
    <row r="394" spans="1:14" x14ac:dyDescent="0.2">
      <c r="A394" s="255" t="str">
        <f>výpočty!$R$15</f>
        <v>Poziomy (z lewej strony na prawą)</v>
      </c>
      <c r="B394" s="256" t="str">
        <f>výpočty!$R$10</f>
        <v>Do ślimaka roletowego</v>
      </c>
      <c r="C394" t="str">
        <f>výpočty!$R$7</f>
        <v>Nakładany z prowadzeniem metalic-line 29 mm i mechanimem C3</v>
      </c>
      <c r="D394" s="36" t="str">
        <f>výpočty!$W$11</f>
        <v>Czereśnia havana (E23)</v>
      </c>
      <c r="E394" t="s">
        <v>2131</v>
      </c>
      <c r="F394">
        <v>1</v>
      </c>
      <c r="G394" s="321" t="str">
        <f>Překlady!$A$153</f>
        <v>U systemu nawijania do tyłu i do ślimaka roletowego nie da się zastosować nakładanego systemu prowadzenia 29 mm i mechanizmu C3. Należy wybrać wersję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U systemu nawijania do tyłu i do ślimaka roletowego nie da się zastosować nakładanego systemu prowadzenia 29 mm i mechanizmu C3. Należy wybrać wersję FRAME.</v>
      </c>
      <c r="N394">
        <f t="shared" si="20"/>
        <v>1</v>
      </c>
    </row>
    <row r="395" spans="1:14" x14ac:dyDescent="0.2">
      <c r="A395" s="255" t="str">
        <f>výpočty!$R$15</f>
        <v>Poziomy (z lewej strony na prawą)</v>
      </c>
      <c r="B395" s="256" t="str">
        <f>výpočty!$R$10</f>
        <v>Do ślimaka roletowego</v>
      </c>
      <c r="C395" t="str">
        <f>výpočty!$R$7</f>
        <v>Nakładany z prowadzeniem metalic-line 29 mm i mechanimem C3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U systemu nawijania do tyłu i do ślimaka roletowego nie da się zastosować nakładanego systemu prowadzenia 29 mm i mechanizmu C3. Należy wybrać wersję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U systemu nawijania do tyłu i do ślimaka roletowego nie da się zastosować nakładanego systemu prowadzenia 29 mm i mechanizmu C3. Należy wybrać wersję FRAME.</v>
      </c>
      <c r="N395">
        <f t="shared" si="20"/>
        <v>1</v>
      </c>
    </row>
    <row r="396" spans="1:14" x14ac:dyDescent="0.2">
      <c r="A396" s="255" t="str">
        <f>výpočty!$R$15</f>
        <v>Poziomy (z lewej strony na prawą)</v>
      </c>
      <c r="B396" s="256" t="str">
        <f>výpočty!$R$10</f>
        <v>Do ślimaka roletowego</v>
      </c>
      <c r="C396" t="str">
        <f>výpočty!$R$7</f>
        <v>Nakładany z prowadzeniem metalic-line 29 mm i mechanimem C3</v>
      </c>
      <c r="D396" s="36" t="str">
        <f>výpočty!$W$14</f>
        <v>śnieżno biala mat (E9)</v>
      </c>
      <c r="E396" t="s">
        <v>2131</v>
      </c>
      <c r="F396">
        <v>1</v>
      </c>
      <c r="G396" s="321" t="str">
        <f>Překlady!$A$142</f>
        <v>Kolor śnieżno biały w profilu E9 można łączyć jedynie z prowadzeniem Classic i systemem nawijania do tyłu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Kolor śnieżno biały w profilu E9 można łączyć jedynie z prowadzeniem Classic i systemem nawijania do tyłu</v>
      </c>
      <c r="N396">
        <f t="shared" si="20"/>
        <v>1</v>
      </c>
    </row>
    <row r="397" spans="1:14" x14ac:dyDescent="0.2">
      <c r="A397" s="255" t="str">
        <f>výpočty!$R$15</f>
        <v>Poziomy (z lewej strony na prawą)</v>
      </c>
      <c r="B397" s="256" t="str">
        <f>výpočty!$R$10</f>
        <v>Do ślimaka roletowego</v>
      </c>
      <c r="C397" t="str">
        <f>výpočty!$R$7</f>
        <v>Nakładany z prowadzeniem metalic-line 29 mm i mechanimem C3</v>
      </c>
      <c r="D397" s="36" t="str">
        <f>výpočty!$W$15</f>
        <v>Aluminowa plastik (E4)</v>
      </c>
      <c r="E397" t="s">
        <v>2131</v>
      </c>
      <c r="F397">
        <v>1</v>
      </c>
      <c r="G397" s="321" t="str">
        <f>Překlady!$A$143</f>
        <v>Kolor aluminium plastik w profilu E4 jest idealny do poziomych rozwiązań w kombinacji z prowadzeniem Classic z systemem nawijania do tyłu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Kolor aluminium plastik w profilu E4 jest idealny do poziomych rozwiązań w kombinacji z prowadzeniem Classic z systemem nawijania do tyłu</v>
      </c>
      <c r="N397">
        <f t="shared" si="20"/>
        <v>1</v>
      </c>
    </row>
    <row r="398" spans="1:14" x14ac:dyDescent="0.2">
      <c r="A398" s="255" t="str">
        <f>výpočty!$R$15</f>
        <v>Poziomy (z lewej strony na prawą)</v>
      </c>
      <c r="B398" s="256" t="str">
        <f>výpočty!$R$10</f>
        <v>Do ślimaka roletowego</v>
      </c>
      <c r="C398" t="str">
        <f>výpočty!$R$7</f>
        <v>Nakładany z prowadzeniem metalic-line 29 mm i mechanimem C3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U systemu nawijania do tyłu i do ślimaka roletowego nie da się zastosować nakładanego systemu prowadzenia 29 mm i mechanizmu C3. Należy wybrać wersję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U systemu nawijania do tyłu i do ślimaka roletowego nie da się zastosować nakładanego systemu prowadzenia 29 mm i mechanizmu C3. Należy wybrać wersję FRAME.</v>
      </c>
      <c r="N398">
        <f t="shared" si="20"/>
        <v>1</v>
      </c>
    </row>
    <row r="399" spans="1:14" x14ac:dyDescent="0.2">
      <c r="A399" s="255" t="str">
        <f>výpočty!$R$15</f>
        <v>Poziomy (z lewej strony na prawą)</v>
      </c>
      <c r="B399" s="256" t="str">
        <f>výpočty!$R$10</f>
        <v>Do ślimaka roletowego</v>
      </c>
      <c r="C399" t="str">
        <f>výpočty!$R$7</f>
        <v>Nakładany z prowadzeniem metalic-line 29 mm i mechanimem C3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U systemu nawijania do tyłu i do ślimaka roletowego nie da się zastosować nakładanego systemu prowadzenia 29 mm i mechanizmu C3. Należy wybrać wersję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U systemu nawijania do tyłu i do ślimaka roletowego nie da się zastosować nakładanego systemu prowadzenia 29 mm i mechanizmu C3. Należy wybrać wersję FRAME.</v>
      </c>
      <c r="N399">
        <f t="shared" si="20"/>
        <v>1</v>
      </c>
    </row>
    <row r="400" spans="1:14" x14ac:dyDescent="0.2">
      <c r="A400" s="255" t="str">
        <f>výpočty!$R$15</f>
        <v>Poziomy (z lewej strony na prawą)</v>
      </c>
      <c r="B400" s="256" t="str">
        <f>výpočty!$R$10</f>
        <v>Do ślimaka roletowego</v>
      </c>
      <c r="C400" t="str">
        <f>výpočty!$R$7</f>
        <v>Nakładany z prowadzeniem metalic-line 29 mm i mechanimem C3</v>
      </c>
      <c r="D400" s="36" t="str">
        <f>výpočty!$W$19</f>
        <v>Aluminium szerokość 25 mm (metallic-line)</v>
      </c>
      <c r="E400" t="s">
        <v>2131</v>
      </c>
      <c r="F400">
        <v>1</v>
      </c>
      <c r="G400" s="321" t="str">
        <f>Překlady!$A$153</f>
        <v>U systemu nawijania do tyłu i do ślimaka roletowego nie da się zastosować nakładanego systemu prowadzenia 29 mm i mechanizmu C3. Należy wybrać wersję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U systemu nawijania do tyłu i do ślimaka roletowego nie da się zastosować nakładanego systemu prowadzenia 29 mm i mechanizmu C3. Należy wybrać wersję FRAME.</v>
      </c>
      <c r="N400">
        <f t="shared" si="20"/>
        <v>1</v>
      </c>
    </row>
    <row r="401" spans="1:14" ht="13.5" thickBot="1" x14ac:dyDescent="0.25">
      <c r="A401" s="255" t="str">
        <f>výpočty!$R$15</f>
        <v>Poziomy (z lewej strony na prawą)</v>
      </c>
      <c r="B401" s="256" t="str">
        <f>výpočty!$R$10</f>
        <v>Do ślimaka roletowego</v>
      </c>
      <c r="C401" t="str">
        <f>výpočty!$R$7</f>
        <v>Nakładany z prowadzeniem metalic-line 29 mm i mechanimem C3</v>
      </c>
      <c r="D401" s="27" t="str">
        <f>výpočty!$W$20</f>
        <v>Nierdz. szerokość 25 mm (metallic-line)</v>
      </c>
      <c r="E401" t="s">
        <v>2131</v>
      </c>
      <c r="F401">
        <v>1</v>
      </c>
      <c r="G401" s="321" t="str">
        <f>Překlady!$A$153</f>
        <v>U systemu nawijania do tyłu i do ślimaka roletowego nie da się zastosować nakładanego systemu prowadzenia 29 mm i mechanizmu C3. Należy wybrać wersję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U systemu nawijania do tyłu i do ślimaka roletowego nie da się zastosować nakładanego systemu prowadzenia 29 mm i mechanizmu C3. Należy wybrać wersję FRAME.</v>
      </c>
      <c r="N401">
        <f t="shared" si="20"/>
        <v>1</v>
      </c>
    </row>
    <row r="402" spans="1:14" x14ac:dyDescent="0.2">
      <c r="A402" s="255" t="str">
        <f>výpočty!$R$15</f>
        <v>Poziomy (z lewej strony na prawą)</v>
      </c>
      <c r="B402" t="str">
        <f>výpočty!$R$11</f>
        <v>Z mecjanizmem C3</v>
      </c>
      <c r="C402" t="str">
        <f>výpočty!$R$3</f>
        <v>TOP Basic - wpuszczany do przykręcenia plastikowy</v>
      </c>
      <c r="D402" s="26" t="str">
        <f>výpočty!$W$3</f>
        <v>Czarny (E23)</v>
      </c>
      <c r="E402" t="s">
        <v>2131</v>
      </c>
      <c r="F402">
        <v>1</v>
      </c>
      <c r="G402" t="str">
        <f>Překlady!$A$154</f>
        <v>Mechanizmu C3 nie da się zastosować przy poziomym ruchu żaluzji.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Mechanizmu C3 nie da się zastosować przy poziomym ruchu żaluzji.</v>
      </c>
      <c r="N402">
        <f t="shared" si="20"/>
        <v>1</v>
      </c>
    </row>
    <row r="403" spans="1:14" x14ac:dyDescent="0.2">
      <c r="A403" s="255" t="str">
        <f>výpočty!$R$15</f>
        <v>Poziomy (z lewej strony na prawą)</v>
      </c>
      <c r="B403" t="str">
        <f>výpočty!$R$11</f>
        <v>Z mecjanizmem C3</v>
      </c>
      <c r="C403" t="str">
        <f>výpočty!$R$3</f>
        <v>TOP Basic - wpuszczany do przykręcenia plastikowy</v>
      </c>
      <c r="D403" s="36" t="str">
        <f>výpočty!$W$4</f>
        <v>Biały (E23)</v>
      </c>
      <c r="E403" t="s">
        <v>2131</v>
      </c>
      <c r="F403">
        <v>1</v>
      </c>
      <c r="G403" t="str">
        <f>Překlady!$A$154</f>
        <v>Mechanizmu C3 nie da się zastosować przy poziomym ruchu żaluzji.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Mechanizmu C3 nie da się zastosować przy poziomym ruchu żaluzji.</v>
      </c>
      <c r="N403">
        <f t="shared" si="20"/>
        <v>1</v>
      </c>
    </row>
    <row r="404" spans="1:14" x14ac:dyDescent="0.2">
      <c r="A404" s="255" t="str">
        <f>výpočty!$R$15</f>
        <v>Poziomy (z lewej strony na prawą)</v>
      </c>
      <c r="B404" t="str">
        <f>výpočty!$R$11</f>
        <v>Z mecjanizmem C3</v>
      </c>
      <c r="C404" t="str">
        <f>výpočty!$R$3</f>
        <v>TOP Basic - wpuszczany do przykręcenia plastikowy</v>
      </c>
      <c r="D404" s="36" t="str">
        <f>výpočty!$W$5</f>
        <v>Szary (E23)</v>
      </c>
      <c r="E404" t="s">
        <v>2131</v>
      </c>
      <c r="F404">
        <v>1</v>
      </c>
      <c r="G404" t="str">
        <f>Překlady!$A$154</f>
        <v>Mechanizmu C3 nie da się zastosować przy poziomym ruchu żaluzji.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Mechanizmu C3 nie da się zastosować przy poziomym ruchu żaluzji.</v>
      </c>
      <c r="N404">
        <f t="shared" si="20"/>
        <v>1</v>
      </c>
    </row>
    <row r="405" spans="1:14" x14ac:dyDescent="0.2">
      <c r="A405" s="255" t="str">
        <f>výpočty!$R$15</f>
        <v>Poziomy (z lewej strony na prawą)</v>
      </c>
      <c r="B405" t="str">
        <f>výpočty!$R$11</f>
        <v>Z mecjanizmem C3</v>
      </c>
      <c r="C405" t="str">
        <f>výpočty!$R$3</f>
        <v>TOP Basic - wpuszczany do przykręcenia plastikowy</v>
      </c>
      <c r="D405" s="36" t="str">
        <f>výpočty!$W$6</f>
        <v>Aluminowa plastik (E23)</v>
      </c>
      <c r="E405" t="s">
        <v>2131</v>
      </c>
      <c r="F405">
        <v>1</v>
      </c>
      <c r="G405" t="str">
        <f>Překlady!$A$154</f>
        <v>Mechanizmu C3 nie da się zastosować przy poziomym ruchu żaluzji.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Mechanizmu C3 nie da się zastosować przy poziomym ruchu żaluzji.</v>
      </c>
      <c r="N405">
        <f t="shared" si="20"/>
        <v>1</v>
      </c>
    </row>
    <row r="406" spans="1:14" x14ac:dyDescent="0.2">
      <c r="A406" s="255" t="str">
        <f>výpočty!$R$15</f>
        <v>Poziomy (z lewej strony na prawą)</v>
      </c>
      <c r="B406" t="str">
        <f>výpočty!$R$11</f>
        <v>Z mecjanizmem C3</v>
      </c>
      <c r="C406" t="str">
        <f>výpočty!$R$3</f>
        <v>TOP Basic - wpuszczany do przykręcenia plastikowy</v>
      </c>
      <c r="D406" s="36" t="str">
        <f>výpočty!$W$7</f>
        <v>Buk (E23)</v>
      </c>
      <c r="E406" t="s">
        <v>2131</v>
      </c>
      <c r="F406">
        <v>1</v>
      </c>
      <c r="G406" t="str">
        <f>Překlady!$A$154</f>
        <v>Mechanizmu C3 nie da się zastosować przy poziomym ruchu żaluzji.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Mechanizmu C3 nie da się zastosować przy poziomym ruchu żaluzji.</v>
      </c>
      <c r="N406">
        <f t="shared" si="20"/>
        <v>1</v>
      </c>
    </row>
    <row r="407" spans="1:14" x14ac:dyDescent="0.2">
      <c r="A407" s="255" t="str">
        <f>výpočty!$R$15</f>
        <v>Poziomy (z lewej strony na prawą)</v>
      </c>
      <c r="B407" t="str">
        <f>výpočty!$R$11</f>
        <v>Z mecjanizmem C3</v>
      </c>
      <c r="C407" t="str">
        <f>výpočty!$R$3</f>
        <v>TOP Basic - wpuszczany do przykręcenia plastikowy</v>
      </c>
      <c r="D407" s="36" t="str">
        <f>výpočty!$W$8</f>
        <v>Czereśnia (E23)</v>
      </c>
      <c r="E407" t="s">
        <v>2131</v>
      </c>
      <c r="F407">
        <v>1</v>
      </c>
      <c r="G407" t="str">
        <f>Překlady!$A$154</f>
        <v>Mechanizmu C3 nie da się zastosować przy poziomym ruchu żaluzji.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Mechanizmu C3 nie da się zastosować przy poziomym ruchu żaluzji.</v>
      </c>
      <c r="N407">
        <f t="shared" si="20"/>
        <v>1</v>
      </c>
    </row>
    <row r="408" spans="1:14" x14ac:dyDescent="0.2">
      <c r="A408" s="255" t="str">
        <f>výpočty!$R$15</f>
        <v>Poziomy (z lewej strony na prawą)</v>
      </c>
      <c r="B408" t="str">
        <f>výpočty!$R$11</f>
        <v>Z mecjanizmem C3</v>
      </c>
      <c r="C408" t="str">
        <f>výpočty!$R$3</f>
        <v>TOP Basic - wpuszczany do przykręcenia plastikowy</v>
      </c>
      <c r="D408" s="36" t="str">
        <f>výpočty!$W$9</f>
        <v>Klon (E23)</v>
      </c>
      <c r="E408" t="s">
        <v>2131</v>
      </c>
      <c r="F408">
        <v>1</v>
      </c>
      <c r="G408" t="str">
        <f>Překlady!$A$154</f>
        <v>Mechanizmu C3 nie da się zastosować przy poziomym ruchu żaluzji.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Mechanizmu C3 nie da się zastosować przy poziomym ruchu żaluzji.</v>
      </c>
      <c r="N408">
        <f t="shared" si="20"/>
        <v>1</v>
      </c>
    </row>
    <row r="409" spans="1:14" x14ac:dyDescent="0.2">
      <c r="A409" s="255" t="str">
        <f>výpočty!$R$15</f>
        <v>Poziomy (z lewej strony na prawą)</v>
      </c>
      <c r="B409" t="str">
        <f>výpočty!$R$11</f>
        <v>Z mecjanizmem C3</v>
      </c>
      <c r="C409" t="str">
        <f>výpočty!$R$3</f>
        <v>TOP Basic - wpuszczany do przykręcenia plastikowy</v>
      </c>
      <c r="D409" s="36" t="str">
        <f>výpočty!$W$10</f>
        <v>Brzoza (E23)</v>
      </c>
      <c r="E409" t="s">
        <v>2131</v>
      </c>
      <c r="F409">
        <v>1</v>
      </c>
      <c r="G409" t="str">
        <f>Překlady!$A$154</f>
        <v>Mechanizmu C3 nie da się zastosować przy poziomym ruchu żaluzji.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Mechanizmu C3 nie da się zastosować przy poziomym ruchu żaluzji.</v>
      </c>
      <c r="N409">
        <f t="shared" si="20"/>
        <v>1</v>
      </c>
    </row>
    <row r="410" spans="1:14" x14ac:dyDescent="0.2">
      <c r="A410" s="255" t="str">
        <f>výpočty!$R$15</f>
        <v>Poziomy (z lewej strony na prawą)</v>
      </c>
      <c r="B410" t="str">
        <f>výpočty!$R$11</f>
        <v>Z mecjanizmem C3</v>
      </c>
      <c r="C410" t="str">
        <f>výpočty!$R$3</f>
        <v>TOP Basic - wpuszczany do przykręcenia plastikowy</v>
      </c>
      <c r="D410" s="36" t="str">
        <f>výpočty!$W$11</f>
        <v>Czereśnia havana (E23)</v>
      </c>
      <c r="E410" t="s">
        <v>2131</v>
      </c>
      <c r="F410">
        <v>1</v>
      </c>
      <c r="G410" t="str">
        <f>Překlady!$A$154</f>
        <v>Mechanizmu C3 nie da się zastosować przy poziomym ruchu żaluzji.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Mechanizmu C3 nie da się zastosować przy poziomym ruchu żaluzji.</v>
      </c>
      <c r="N410">
        <f t="shared" si="20"/>
        <v>1</v>
      </c>
    </row>
    <row r="411" spans="1:14" x14ac:dyDescent="0.2">
      <c r="A411" s="255" t="str">
        <f>výpočty!$R$15</f>
        <v>Poziomy (z lewej strony na prawą)</v>
      </c>
      <c r="B411" t="str">
        <f>výpočty!$R$11</f>
        <v>Z mecjanizmem C3</v>
      </c>
      <c r="C411" t="str">
        <f>výpočty!$R$3</f>
        <v>TOP Basic - wpuszczany do przykręcenia plastikowy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Mechanizmu C3 nie da się zastosować przy poziomym ruchu żaluzji.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Mechanizmu C3 nie da się zastosować przy poziomym ruchu żaluzji.</v>
      </c>
      <c r="N411">
        <f t="shared" si="20"/>
        <v>1</v>
      </c>
    </row>
    <row r="412" spans="1:14" x14ac:dyDescent="0.2">
      <c r="A412" s="255" t="str">
        <f>výpočty!$R$15</f>
        <v>Poziomy (z lewej strony na prawą)</v>
      </c>
      <c r="B412" t="str">
        <f>výpočty!$R$11</f>
        <v>Z mecjanizmem C3</v>
      </c>
      <c r="C412" t="str">
        <f>výpočty!$R$3</f>
        <v>TOP Basic - wpuszczany do przykręcenia plastikowy</v>
      </c>
      <c r="D412" s="36" t="str">
        <f>výpočty!$W$14</f>
        <v>śnieżno biala mat (E9)</v>
      </c>
      <c r="E412" t="s">
        <v>2131</v>
      </c>
      <c r="F412">
        <v>1</v>
      </c>
      <c r="G412" t="str">
        <f>Překlady!$A$154</f>
        <v>Mechanizmu C3 nie da się zastosować przy poziomym ruchu żaluzji.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Mechanizmu C3 nie da się zastosować przy poziomym ruchu żaluzji.</v>
      </c>
      <c r="N412">
        <f t="shared" si="20"/>
        <v>1</v>
      </c>
    </row>
    <row r="413" spans="1:14" x14ac:dyDescent="0.2">
      <c r="A413" s="255" t="str">
        <f>výpočty!$R$15</f>
        <v>Poziomy (z lewej strony na prawą)</v>
      </c>
      <c r="B413" t="str">
        <f>výpočty!$R$11</f>
        <v>Z mecjanizmem C3</v>
      </c>
      <c r="C413" t="str">
        <f>výpočty!$R$3</f>
        <v>TOP Basic - wpuszczany do przykręcenia plastikowy</v>
      </c>
      <c r="D413" s="36" t="str">
        <f>výpočty!$W$15</f>
        <v>Aluminowa plastik (E4)</v>
      </c>
      <c r="E413" t="s">
        <v>2131</v>
      </c>
      <c r="F413">
        <v>1</v>
      </c>
      <c r="G413" s="321" t="str">
        <f>Překlady!$A$143</f>
        <v>Kolor aluminium plastik w profilu E4 jest idealny do poziomych rozwiązań w kombinacji z prowadzeniem Classic z systemem nawijania do tyłu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Kolor aluminium plastik w profilu E4 jest idealny do poziomych rozwiązań w kombinacji z prowadzeniem Classic z systemem nawijania do tyłu</v>
      </c>
      <c r="N413">
        <f t="shared" si="20"/>
        <v>1</v>
      </c>
    </row>
    <row r="414" spans="1:14" x14ac:dyDescent="0.2">
      <c r="A414" s="255" t="str">
        <f>výpočty!$R$15</f>
        <v>Poziomy (z lewej strony na prawą)</v>
      </c>
      <c r="B414" t="str">
        <f>výpočty!$R$11</f>
        <v>Z mecjanizmem C3</v>
      </c>
      <c r="C414" t="str">
        <f>výpočty!$R$3</f>
        <v>TOP Basic - wpuszczany do przykręcenia plastikowy</v>
      </c>
      <c r="D414" s="36">
        <f>výpočty!$W$17</f>
        <v>0</v>
      </c>
      <c r="E414" t="s">
        <v>2131</v>
      </c>
      <c r="F414">
        <v>1</v>
      </c>
      <c r="G414" t="str">
        <f>Překlady!$A$154</f>
        <v>Mechanizmu C3 nie da się zastosować przy poziomym ruchu żaluzji.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Mechanizmu C3 nie da się zastosować przy poziomym ruchu żaluzji.</v>
      </c>
      <c r="N414">
        <f t="shared" si="20"/>
        <v>1</v>
      </c>
    </row>
    <row r="415" spans="1:14" x14ac:dyDescent="0.2">
      <c r="A415" s="255" t="str">
        <f>výpočty!$R$15</f>
        <v>Poziomy (z lewej strony na prawą)</v>
      </c>
      <c r="B415" t="str">
        <f>výpočty!$R$11</f>
        <v>Z mecjanizmem C3</v>
      </c>
      <c r="C415" t="str">
        <f>výpočty!$R$3</f>
        <v>TOP Basic - wpuszczany do przykręcenia plastikowy</v>
      </c>
      <c r="D415" s="36">
        <f>výpočty!$W$18</f>
        <v>0</v>
      </c>
      <c r="E415" t="s">
        <v>2131</v>
      </c>
      <c r="F415">
        <v>1</v>
      </c>
      <c r="G415" t="str">
        <f>Překlady!$A$154</f>
        <v>Mechanizmu C3 nie da się zastosować przy poziomym ruchu żaluzji.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Mechanizmu C3 nie da się zastosować przy poziomym ruchu żaluzji.</v>
      </c>
      <c r="N415">
        <f t="shared" si="20"/>
        <v>1</v>
      </c>
    </row>
    <row r="416" spans="1:14" x14ac:dyDescent="0.2">
      <c r="A416" s="255" t="str">
        <f>výpočty!$R$15</f>
        <v>Poziomy (z lewej strony na prawą)</v>
      </c>
      <c r="B416" t="str">
        <f>výpočty!$R$11</f>
        <v>Z mecjanizmem C3</v>
      </c>
      <c r="C416" t="str">
        <f>výpočty!$R$3</f>
        <v>TOP Basic - wpuszczany do przykręcenia plastikowy</v>
      </c>
      <c r="D416" s="36" t="str">
        <f>výpočty!$W$19</f>
        <v>Aluminium szerokość 25 mm (metallic-line)</v>
      </c>
      <c r="E416" t="s">
        <v>2131</v>
      </c>
      <c r="F416">
        <v>1</v>
      </c>
      <c r="G416" t="str">
        <f>Překlady!$A$154</f>
        <v>Mechanizmu C3 nie da się zastosować przy poziomym ruchu żaluzji.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Mechanizmu C3 nie da się zastosować przy poziomym ruchu żaluzji.</v>
      </c>
      <c r="N416">
        <f t="shared" si="20"/>
        <v>1</v>
      </c>
    </row>
    <row r="417" spans="1:14" ht="13.5" thickBot="1" x14ac:dyDescent="0.25">
      <c r="A417" s="255" t="str">
        <f>výpočty!$R$15</f>
        <v>Poziomy (z lewej strony na prawą)</v>
      </c>
      <c r="B417" t="str">
        <f>výpočty!$R$11</f>
        <v>Z mecjanizmem C3</v>
      </c>
      <c r="C417" t="str">
        <f>výpočty!$R$3</f>
        <v>TOP Basic - wpuszczany do przykręcenia plastikowy</v>
      </c>
      <c r="D417" s="27" t="str">
        <f>výpočty!$W$20</f>
        <v>Nierdz. szerokość 25 mm (metallic-line)</v>
      </c>
      <c r="E417" t="s">
        <v>2131</v>
      </c>
      <c r="F417">
        <v>1</v>
      </c>
      <c r="G417" t="str">
        <f>Překlady!$A$154</f>
        <v>Mechanizmu C3 nie da się zastosować przy poziomym ruchu żaluzji.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Mechanizmu C3 nie da się zastosować przy poziomym ruchu żaluzji.</v>
      </c>
      <c r="N417">
        <f t="shared" si="20"/>
        <v>1</v>
      </c>
    </row>
    <row r="418" spans="1:14" x14ac:dyDescent="0.2">
      <c r="A418" s="255" t="str">
        <f>výpočty!$R$15</f>
        <v>Poziomy (z lewej strony na prawą)</v>
      </c>
      <c r="B418" t="str">
        <f>výpočty!$R$11</f>
        <v>Z mecjanizmem C3</v>
      </c>
      <c r="C418" t="str">
        <f>výpočty!$R$4</f>
        <v>Classic - wpuszczany do zafrezowania</v>
      </c>
      <c r="D418" s="26" t="str">
        <f>výpočty!$W$3</f>
        <v>Czarny (E23)</v>
      </c>
      <c r="E418" t="s">
        <v>2131</v>
      </c>
      <c r="F418">
        <v>1</v>
      </c>
      <c r="G418" t="str">
        <f>Překlady!$A$154</f>
        <v>Mechanizmu C3 nie da się zastosować przy poziomym ruchu żaluzji.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Mechanizmu C3 nie da się zastosować przy poziomym ruchu żaluzji.</v>
      </c>
      <c r="N418">
        <f t="shared" si="20"/>
        <v>1</v>
      </c>
    </row>
    <row r="419" spans="1:14" x14ac:dyDescent="0.2">
      <c r="A419" s="255" t="str">
        <f>výpočty!$R$15</f>
        <v>Poziomy (z lewej strony na prawą)</v>
      </c>
      <c r="B419" t="str">
        <f>výpočty!$R$11</f>
        <v>Z mecjanizmem C3</v>
      </c>
      <c r="C419" t="str">
        <f>výpočty!$R$4</f>
        <v>Classic - wpuszczany do zafrezowania</v>
      </c>
      <c r="D419" s="36" t="str">
        <f>výpočty!$W$4</f>
        <v>Biały (E23)</v>
      </c>
      <c r="E419" t="s">
        <v>2131</v>
      </c>
      <c r="F419">
        <v>1</v>
      </c>
      <c r="G419" t="str">
        <f>Překlady!$A$154</f>
        <v>Mechanizmu C3 nie da się zastosować przy poziomym ruchu żaluzji.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Mechanizmu C3 nie da się zastosować przy poziomym ruchu żaluzji.</v>
      </c>
      <c r="N419">
        <f t="shared" si="20"/>
        <v>1</v>
      </c>
    </row>
    <row r="420" spans="1:14" x14ac:dyDescent="0.2">
      <c r="A420" s="255" t="str">
        <f>výpočty!$R$15</f>
        <v>Poziomy (z lewej strony na prawą)</v>
      </c>
      <c r="B420" t="str">
        <f>výpočty!$R$11</f>
        <v>Z mecjanizmem C3</v>
      </c>
      <c r="C420" t="str">
        <f>výpočty!$R$4</f>
        <v>Classic - wpuszczany do zafrezowania</v>
      </c>
      <c r="D420" s="36" t="str">
        <f>výpočty!$W$5</f>
        <v>Szary (E23)</v>
      </c>
      <c r="E420" t="s">
        <v>2131</v>
      </c>
      <c r="F420">
        <v>1</v>
      </c>
      <c r="G420" t="str">
        <f>Překlady!$A$154</f>
        <v>Mechanizmu C3 nie da się zastosować przy poziomym ruchu żaluzji.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Mechanizmu C3 nie da się zastosować przy poziomym ruchu żaluzji.</v>
      </c>
      <c r="N420">
        <f t="shared" si="20"/>
        <v>1</v>
      </c>
    </row>
    <row r="421" spans="1:14" x14ac:dyDescent="0.2">
      <c r="A421" s="255" t="str">
        <f>výpočty!$R$15</f>
        <v>Poziomy (z lewej strony na prawą)</v>
      </c>
      <c r="B421" t="str">
        <f>výpočty!$R$11</f>
        <v>Z mecjanizmem C3</v>
      </c>
      <c r="C421" t="str">
        <f>výpočty!$R$4</f>
        <v>Classic - wpuszczany do zafrezowania</v>
      </c>
      <c r="D421" s="36" t="str">
        <f>výpočty!$W$6</f>
        <v>Aluminowa plastik (E23)</v>
      </c>
      <c r="E421" t="s">
        <v>2131</v>
      </c>
      <c r="F421">
        <v>1</v>
      </c>
      <c r="G421" t="str">
        <f>Překlady!$A$154</f>
        <v>Mechanizmu C3 nie da się zastosować przy poziomym ruchu żaluzji.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Mechanizmu C3 nie da się zastosować przy poziomym ruchu żaluzji.</v>
      </c>
      <c r="N421">
        <f t="shared" si="20"/>
        <v>1</v>
      </c>
    </row>
    <row r="422" spans="1:14" x14ac:dyDescent="0.2">
      <c r="A422" s="255" t="str">
        <f>výpočty!$R$15</f>
        <v>Poziomy (z lewej strony na prawą)</v>
      </c>
      <c r="B422" t="str">
        <f>výpočty!$R$11</f>
        <v>Z mecjanizmem C3</v>
      </c>
      <c r="C422" t="str">
        <f>výpočty!$R$4</f>
        <v>Classic - wpuszczany do zafrezowania</v>
      </c>
      <c r="D422" s="36" t="str">
        <f>výpočty!$W$7</f>
        <v>Buk (E23)</v>
      </c>
      <c r="E422" t="s">
        <v>2131</v>
      </c>
      <c r="F422">
        <v>1</v>
      </c>
      <c r="G422" t="str">
        <f>Překlady!$A$154</f>
        <v>Mechanizmu C3 nie da się zastosować przy poziomym ruchu żaluzji.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Mechanizmu C3 nie da się zastosować przy poziomym ruchu żaluzji.</v>
      </c>
      <c r="N422">
        <f t="shared" si="20"/>
        <v>1</v>
      </c>
    </row>
    <row r="423" spans="1:14" x14ac:dyDescent="0.2">
      <c r="A423" s="255" t="str">
        <f>výpočty!$R$15</f>
        <v>Poziomy (z lewej strony na prawą)</v>
      </c>
      <c r="B423" t="str">
        <f>výpočty!$R$11</f>
        <v>Z mecjanizmem C3</v>
      </c>
      <c r="C423" t="str">
        <f>výpočty!$R$4</f>
        <v>Classic - wpuszczany do zafrezowania</v>
      </c>
      <c r="D423" s="36" t="str">
        <f>výpočty!$W$8</f>
        <v>Czereśnia (E23)</v>
      </c>
      <c r="E423" t="s">
        <v>2131</v>
      </c>
      <c r="F423">
        <v>1</v>
      </c>
      <c r="G423" t="str">
        <f>Překlady!$A$154</f>
        <v>Mechanizmu C3 nie da się zastosować przy poziomym ruchu żaluzji.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Mechanizmu C3 nie da się zastosować przy poziomym ruchu żaluzji.</v>
      </c>
      <c r="N423">
        <f t="shared" si="20"/>
        <v>1</v>
      </c>
    </row>
    <row r="424" spans="1:14" x14ac:dyDescent="0.2">
      <c r="A424" s="255" t="str">
        <f>výpočty!$R$15</f>
        <v>Poziomy (z lewej strony na prawą)</v>
      </c>
      <c r="B424" t="str">
        <f>výpočty!$R$11</f>
        <v>Z mecjanizmem C3</v>
      </c>
      <c r="C424" t="str">
        <f>výpočty!$R$4</f>
        <v>Classic - wpuszczany do zafrezowania</v>
      </c>
      <c r="D424" s="36" t="str">
        <f>výpočty!$W$9</f>
        <v>Klon (E23)</v>
      </c>
      <c r="E424" t="s">
        <v>2131</v>
      </c>
      <c r="F424">
        <v>1</v>
      </c>
      <c r="G424" t="str">
        <f>Překlady!$A$154</f>
        <v>Mechanizmu C3 nie da się zastosować przy poziomym ruchu żaluzji.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Mechanizmu C3 nie da się zastosować przy poziomym ruchu żaluzji.</v>
      </c>
      <c r="N424">
        <f t="shared" si="20"/>
        <v>1</v>
      </c>
    </row>
    <row r="425" spans="1:14" x14ac:dyDescent="0.2">
      <c r="A425" s="255" t="str">
        <f>výpočty!$R$15</f>
        <v>Poziomy (z lewej strony na prawą)</v>
      </c>
      <c r="B425" t="str">
        <f>výpočty!$R$11</f>
        <v>Z mecjanizmem C3</v>
      </c>
      <c r="C425" t="str">
        <f>výpočty!$R$4</f>
        <v>Classic - wpuszczany do zafrezowania</v>
      </c>
      <c r="D425" s="36" t="str">
        <f>výpočty!$W$10</f>
        <v>Brzoza (E23)</v>
      </c>
      <c r="E425" t="s">
        <v>2131</v>
      </c>
      <c r="F425">
        <v>1</v>
      </c>
      <c r="G425" t="str">
        <f>Překlady!$A$154</f>
        <v>Mechanizmu C3 nie da się zastosować przy poziomym ruchu żaluzji.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Mechanizmu C3 nie da się zastosować przy poziomym ruchu żaluzji.</v>
      </c>
      <c r="N425">
        <f t="shared" si="20"/>
        <v>1</v>
      </c>
    </row>
    <row r="426" spans="1:14" x14ac:dyDescent="0.2">
      <c r="A426" s="255" t="str">
        <f>výpočty!$R$15</f>
        <v>Poziomy (z lewej strony na prawą)</v>
      </c>
      <c r="B426" t="str">
        <f>výpočty!$R$11</f>
        <v>Z mecjanizmem C3</v>
      </c>
      <c r="C426" t="str">
        <f>výpočty!$R$4</f>
        <v>Classic - wpuszczany do zafrezowania</v>
      </c>
      <c r="D426" s="36" t="str">
        <f>výpočty!$W$11</f>
        <v>Czereśnia havana (E23)</v>
      </c>
      <c r="E426" t="s">
        <v>2131</v>
      </c>
      <c r="F426">
        <v>1</v>
      </c>
      <c r="G426" t="str">
        <f>Překlady!$A$154</f>
        <v>Mechanizmu C3 nie da się zastosować przy poziomym ruchu żaluzji.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Mechanizmu C3 nie da się zastosować przy poziomym ruchu żaluzji.</v>
      </c>
      <c r="N426">
        <f t="shared" si="20"/>
        <v>1</v>
      </c>
    </row>
    <row r="427" spans="1:14" x14ac:dyDescent="0.2">
      <c r="A427" s="255" t="str">
        <f>výpočty!$R$15</f>
        <v>Poziomy (z lewej strony na prawą)</v>
      </c>
      <c r="B427" t="str">
        <f>výpočty!$R$11</f>
        <v>Z mecjanizmem C3</v>
      </c>
      <c r="C427" t="str">
        <f>výpočty!$R$4</f>
        <v>Classic - wpuszczany do zafrezowania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Mechanizmu C3 nie da się zastosować przy poziomym ruchu żaluzji.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Mechanizmu C3 nie da się zastosować przy poziomym ruchu żaluzji.</v>
      </c>
      <c r="N427">
        <f t="shared" si="20"/>
        <v>1</v>
      </c>
    </row>
    <row r="428" spans="1:14" x14ac:dyDescent="0.2">
      <c r="A428" s="255" t="str">
        <f>výpočty!$R$15</f>
        <v>Poziomy (z lewej strony na prawą)</v>
      </c>
      <c r="B428" t="str">
        <f>výpočty!$R$11</f>
        <v>Z mecjanizmem C3</v>
      </c>
      <c r="C428" t="str">
        <f>výpočty!$R$4</f>
        <v>Classic - wpuszczany do zafrezowania</v>
      </c>
      <c r="D428" s="36" t="str">
        <f>výpočty!$W$14</f>
        <v>śnieżno biala mat (E9)</v>
      </c>
      <c r="E428" t="s">
        <v>2131</v>
      </c>
      <c r="F428">
        <v>1</v>
      </c>
      <c r="G428" t="str">
        <f>Překlady!$A$154</f>
        <v>Mechanizmu C3 nie da się zastosować przy poziomym ruchu żaluzji.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Mechanizmu C3 nie da się zastosować przy poziomym ruchu żaluzji.</v>
      </c>
      <c r="N428">
        <f t="shared" si="20"/>
        <v>1</v>
      </c>
    </row>
    <row r="429" spans="1:14" x14ac:dyDescent="0.2">
      <c r="A429" s="255" t="str">
        <f>výpočty!$R$15</f>
        <v>Poziomy (z lewej strony na prawą)</v>
      </c>
      <c r="B429" t="str">
        <f>výpočty!$R$11</f>
        <v>Z mecjanizmem C3</v>
      </c>
      <c r="C429" t="str">
        <f>výpočty!$R$4</f>
        <v>Classic - wpuszczany do zafrezowania</v>
      </c>
      <c r="D429" s="36" t="str">
        <f>výpočty!$W$15</f>
        <v>Aluminowa plastik (E4)</v>
      </c>
      <c r="E429" t="s">
        <v>2131</v>
      </c>
      <c r="F429">
        <v>1</v>
      </c>
      <c r="G429" s="321" t="str">
        <f>Překlady!$A$143</f>
        <v>Kolor aluminium plastik w profilu E4 jest idealny do poziomych rozwiązań w kombinacji z prowadzeniem Classic z systemem nawijania do tyłu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Kolor aluminium plastik w profilu E4 jest idealny do poziomych rozwiązań w kombinacji z prowadzeniem Classic z systemem nawijania do tyłu</v>
      </c>
      <c r="N429">
        <f t="shared" si="20"/>
        <v>1</v>
      </c>
    </row>
    <row r="430" spans="1:14" x14ac:dyDescent="0.2">
      <c r="A430" s="255" t="str">
        <f>výpočty!$R$15</f>
        <v>Poziomy (z lewej strony na prawą)</v>
      </c>
      <c r="B430" t="str">
        <f>výpočty!$R$11</f>
        <v>Z mecjanizmem C3</v>
      </c>
      <c r="C430" t="str">
        <f>výpočty!$R$4</f>
        <v>Classic - wpuszczany do zafrezowania</v>
      </c>
      <c r="D430" s="36">
        <f>výpočty!$W$17</f>
        <v>0</v>
      </c>
      <c r="E430" t="s">
        <v>2131</v>
      </c>
      <c r="F430">
        <v>1</v>
      </c>
      <c r="G430" t="str">
        <f>Překlady!$A$154</f>
        <v>Mechanizmu C3 nie da się zastosować przy poziomym ruchu żaluzji.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Mechanizmu C3 nie da się zastosować przy poziomym ruchu żaluzji.</v>
      </c>
      <c r="N430">
        <f t="shared" si="20"/>
        <v>1</v>
      </c>
    </row>
    <row r="431" spans="1:14" x14ac:dyDescent="0.2">
      <c r="A431" s="255" t="str">
        <f>výpočty!$R$15</f>
        <v>Poziomy (z lewej strony na prawą)</v>
      </c>
      <c r="B431" t="str">
        <f>výpočty!$R$11</f>
        <v>Z mecjanizmem C3</v>
      </c>
      <c r="C431" t="str">
        <f>výpočty!$R$4</f>
        <v>Classic - wpuszczany do zafrezowania</v>
      </c>
      <c r="D431" s="36">
        <f>výpočty!$W$18</f>
        <v>0</v>
      </c>
      <c r="E431" t="s">
        <v>2131</v>
      </c>
      <c r="F431">
        <v>1</v>
      </c>
      <c r="G431" t="str">
        <f>Překlady!$A$154</f>
        <v>Mechanizmu C3 nie da się zastosować przy poziomym ruchu żaluzji.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Mechanizmu C3 nie da się zastosować przy poziomym ruchu żaluzji.</v>
      </c>
      <c r="N431">
        <f t="shared" si="20"/>
        <v>1</v>
      </c>
    </row>
    <row r="432" spans="1:14" x14ac:dyDescent="0.2">
      <c r="A432" s="255" t="str">
        <f>výpočty!$R$15</f>
        <v>Poziomy (z lewej strony na prawą)</v>
      </c>
      <c r="B432" t="str">
        <f>výpočty!$R$11</f>
        <v>Z mecjanizmem C3</v>
      </c>
      <c r="C432" t="str">
        <f>výpočty!$R$4</f>
        <v>Classic - wpuszczany do zafrezowania</v>
      </c>
      <c r="D432" s="36" t="str">
        <f>výpočty!$W$19</f>
        <v>Aluminium szerokość 25 mm (metallic-line)</v>
      </c>
      <c r="E432" t="s">
        <v>2131</v>
      </c>
      <c r="F432">
        <v>1</v>
      </c>
      <c r="G432" t="str">
        <f>Překlady!$A$154</f>
        <v>Mechanizmu C3 nie da się zastosować przy poziomym ruchu żaluzji.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Mechanizmu C3 nie da się zastosować przy poziomym ruchu żaluzji.</v>
      </c>
      <c r="N432">
        <f t="shared" si="20"/>
        <v>1</v>
      </c>
    </row>
    <row r="433" spans="1:14" ht="13.5" thickBot="1" x14ac:dyDescent="0.25">
      <c r="A433" s="255" t="str">
        <f>výpočty!$R$15</f>
        <v>Poziomy (z lewej strony na prawą)</v>
      </c>
      <c r="B433" t="str">
        <f>výpočty!$R$11</f>
        <v>Z mecjanizmem C3</v>
      </c>
      <c r="C433" t="str">
        <f>výpočty!$R$4</f>
        <v>Classic - wpuszczany do zafrezowania</v>
      </c>
      <c r="D433" s="27" t="str">
        <f>výpočty!$W$20</f>
        <v>Nierdz. szerokość 25 mm (metallic-line)</v>
      </c>
      <c r="E433" t="s">
        <v>2131</v>
      </c>
      <c r="F433">
        <v>1</v>
      </c>
      <c r="G433" t="str">
        <f>Překlady!$A$154</f>
        <v>Mechanizmu C3 nie da się zastosować przy poziomym ruchu żaluzji.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Mechanizmu C3 nie da się zastosować przy poziomym ruchu żaluzji.</v>
      </c>
      <c r="N433">
        <f t="shared" si="20"/>
        <v>1</v>
      </c>
    </row>
    <row r="434" spans="1:14" x14ac:dyDescent="0.2">
      <c r="A434" s="255" t="str">
        <f>výpočty!$R$15</f>
        <v>Poziomy (z lewej strony na prawą)</v>
      </c>
      <c r="B434" t="str">
        <f>výpočty!$R$11</f>
        <v>Z mecjanizmem C3</v>
      </c>
      <c r="C434" t="str">
        <f>výpočty!$R$5</f>
        <v>Frame - nakładany z listwą maskującą</v>
      </c>
      <c r="D434" s="26" t="str">
        <f>výpočty!$W$3</f>
        <v>Czarny (E23)</v>
      </c>
      <c r="E434" t="s">
        <v>2131</v>
      </c>
      <c r="F434">
        <v>1</v>
      </c>
      <c r="G434" t="str">
        <f>Překlady!$A$154</f>
        <v>Mechanizmu C3 nie da się zastosować przy poziomym ruchu żaluzji.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Mechanizmu C3 nie da się zastosować przy poziomym ruchu żaluzji.</v>
      </c>
      <c r="N434">
        <f t="shared" si="20"/>
        <v>1</v>
      </c>
    </row>
    <row r="435" spans="1:14" x14ac:dyDescent="0.2">
      <c r="A435" s="255" t="str">
        <f>výpočty!$R$15</f>
        <v>Poziomy (z lewej strony na prawą)</v>
      </c>
      <c r="B435" t="str">
        <f>výpočty!$R$11</f>
        <v>Z mecjanizmem C3</v>
      </c>
      <c r="C435" t="str">
        <f>výpočty!$R$5</f>
        <v>Frame - nakładany z listwą maskującą</v>
      </c>
      <c r="D435" s="36" t="str">
        <f>výpočty!$W$4</f>
        <v>Biały (E23)</v>
      </c>
      <c r="E435" t="s">
        <v>2131</v>
      </c>
      <c r="F435">
        <v>1</v>
      </c>
      <c r="G435" t="str">
        <f>Překlady!$A$154</f>
        <v>Mechanizmu C3 nie da się zastosować przy poziomym ruchu żaluzji.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Mechanizmu C3 nie da się zastosować przy poziomym ruchu żaluzji.</v>
      </c>
      <c r="N435">
        <f t="shared" si="20"/>
        <v>1</v>
      </c>
    </row>
    <row r="436" spans="1:14" x14ac:dyDescent="0.2">
      <c r="A436" s="255" t="str">
        <f>výpočty!$R$15</f>
        <v>Poziomy (z lewej strony na prawą)</v>
      </c>
      <c r="B436" t="str">
        <f>výpočty!$R$11</f>
        <v>Z mecjanizmem C3</v>
      </c>
      <c r="C436" t="str">
        <f>výpočty!$R$5</f>
        <v>Frame - nakładany z listwą maskującą</v>
      </c>
      <c r="D436" s="36" t="str">
        <f>výpočty!$W$5</f>
        <v>Szary (E23)</v>
      </c>
      <c r="E436" t="s">
        <v>2131</v>
      </c>
      <c r="F436">
        <v>1</v>
      </c>
      <c r="G436" t="str">
        <f>Překlady!$A$154</f>
        <v>Mechanizmu C3 nie da się zastosować przy poziomym ruchu żaluzji.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Mechanizmu C3 nie da się zastosować przy poziomym ruchu żaluzji.</v>
      </c>
      <c r="N436">
        <f t="shared" si="20"/>
        <v>1</v>
      </c>
    </row>
    <row r="437" spans="1:14" x14ac:dyDescent="0.2">
      <c r="A437" s="255" t="str">
        <f>výpočty!$R$15</f>
        <v>Poziomy (z lewej strony na prawą)</v>
      </c>
      <c r="B437" t="str">
        <f>výpočty!$R$11</f>
        <v>Z mecjanizmem C3</v>
      </c>
      <c r="C437" t="str">
        <f>výpočty!$R$5</f>
        <v>Frame - nakładany z listwą maskującą</v>
      </c>
      <c r="D437" s="36" t="str">
        <f>výpočty!$W$6</f>
        <v>Aluminowa plastik (E23)</v>
      </c>
      <c r="E437" t="s">
        <v>2131</v>
      </c>
      <c r="F437">
        <v>1</v>
      </c>
      <c r="G437" t="str">
        <f>Překlady!$A$154</f>
        <v>Mechanizmu C3 nie da się zastosować przy poziomym ruchu żaluzji.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Mechanizmu C3 nie da się zastosować przy poziomym ruchu żaluzji.</v>
      </c>
      <c r="N437">
        <f t="shared" si="20"/>
        <v>1</v>
      </c>
    </row>
    <row r="438" spans="1:14" x14ac:dyDescent="0.2">
      <c r="A438" s="255" t="str">
        <f>výpočty!$R$15</f>
        <v>Poziomy (z lewej strony na prawą)</v>
      </c>
      <c r="B438" t="str">
        <f>výpočty!$R$11</f>
        <v>Z mecjanizmem C3</v>
      </c>
      <c r="C438" t="str">
        <f>výpočty!$R$5</f>
        <v>Frame - nakładany z listwą maskującą</v>
      </c>
      <c r="D438" s="36" t="str">
        <f>výpočty!$W$7</f>
        <v>Buk (E23)</v>
      </c>
      <c r="E438" t="s">
        <v>2131</v>
      </c>
      <c r="F438">
        <v>1</v>
      </c>
      <c r="G438" t="str">
        <f>Překlady!$A$154</f>
        <v>Mechanizmu C3 nie da się zastosować przy poziomym ruchu żaluzji.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Mechanizmu C3 nie da się zastosować przy poziomym ruchu żaluzji.</v>
      </c>
      <c r="N438">
        <f t="shared" si="20"/>
        <v>1</v>
      </c>
    </row>
    <row r="439" spans="1:14" x14ac:dyDescent="0.2">
      <c r="A439" s="255" t="str">
        <f>výpočty!$R$15</f>
        <v>Poziomy (z lewej strony na prawą)</v>
      </c>
      <c r="B439" t="str">
        <f>výpočty!$R$11</f>
        <v>Z mecjanizmem C3</v>
      </c>
      <c r="C439" t="str">
        <f>výpočty!$R$5</f>
        <v>Frame - nakładany z listwą maskującą</v>
      </c>
      <c r="D439" s="36" t="str">
        <f>výpočty!$W$8</f>
        <v>Czereśnia (E23)</v>
      </c>
      <c r="E439" t="s">
        <v>2131</v>
      </c>
      <c r="F439">
        <v>1</v>
      </c>
      <c r="G439" t="str">
        <f>Překlady!$A$154</f>
        <v>Mechanizmu C3 nie da się zastosować przy poziomym ruchu żaluzji.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Mechanizmu C3 nie da się zastosować przy poziomym ruchu żaluzji.</v>
      </c>
      <c r="N439">
        <f t="shared" si="20"/>
        <v>1</v>
      </c>
    </row>
    <row r="440" spans="1:14" x14ac:dyDescent="0.2">
      <c r="A440" s="255" t="str">
        <f>výpočty!$R$15</f>
        <v>Poziomy (z lewej strony na prawą)</v>
      </c>
      <c r="B440" t="str">
        <f>výpočty!$R$11</f>
        <v>Z mecjanizmem C3</v>
      </c>
      <c r="C440" t="str">
        <f>výpočty!$R$5</f>
        <v>Frame - nakładany z listwą maskującą</v>
      </c>
      <c r="D440" s="36" t="str">
        <f>výpočty!$W$9</f>
        <v>Klon (E23)</v>
      </c>
      <c r="E440" t="s">
        <v>2131</v>
      </c>
      <c r="F440">
        <v>1</v>
      </c>
      <c r="G440" t="str">
        <f>Překlady!$A$154</f>
        <v>Mechanizmu C3 nie da się zastosować przy poziomym ruchu żaluzji.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Mechanizmu C3 nie da się zastosować przy poziomym ruchu żaluzji.</v>
      </c>
      <c r="N440">
        <f t="shared" si="20"/>
        <v>1</v>
      </c>
    </row>
    <row r="441" spans="1:14" x14ac:dyDescent="0.2">
      <c r="A441" s="255" t="str">
        <f>výpočty!$R$15</f>
        <v>Poziomy (z lewej strony na prawą)</v>
      </c>
      <c r="B441" t="str">
        <f>výpočty!$R$11</f>
        <v>Z mecjanizmem C3</v>
      </c>
      <c r="C441" t="str">
        <f>výpočty!$R$5</f>
        <v>Frame - nakładany z listwą maskującą</v>
      </c>
      <c r="D441" s="36" t="str">
        <f>výpočty!$W$10</f>
        <v>Brzoza (E23)</v>
      </c>
      <c r="E441" t="s">
        <v>2131</v>
      </c>
      <c r="F441">
        <v>1</v>
      </c>
      <c r="G441" t="str">
        <f>Překlady!$A$154</f>
        <v>Mechanizmu C3 nie da się zastosować przy poziomym ruchu żaluzji.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Mechanizmu C3 nie da się zastosować przy poziomym ruchu żaluzji.</v>
      </c>
      <c r="N441">
        <f t="shared" si="20"/>
        <v>1</v>
      </c>
    </row>
    <row r="442" spans="1:14" x14ac:dyDescent="0.2">
      <c r="A442" s="255" t="str">
        <f>výpočty!$R$15</f>
        <v>Poziomy (z lewej strony na prawą)</v>
      </c>
      <c r="B442" t="str">
        <f>výpočty!$R$11</f>
        <v>Z mecjanizmem C3</v>
      </c>
      <c r="C442" t="str">
        <f>výpočty!$R$5</f>
        <v>Frame - nakładany z listwą maskującą</v>
      </c>
      <c r="D442" s="36" t="str">
        <f>výpočty!$W$11</f>
        <v>Czereśnia havana (E23)</v>
      </c>
      <c r="E442" t="s">
        <v>2131</v>
      </c>
      <c r="F442">
        <v>1</v>
      </c>
      <c r="G442" t="str">
        <f>Překlady!$A$154</f>
        <v>Mechanizmu C3 nie da się zastosować przy poziomym ruchu żaluzji.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Mechanizmu C3 nie da się zastosować przy poziomym ruchu żaluzji.</v>
      </c>
      <c r="N442">
        <f t="shared" si="20"/>
        <v>1</v>
      </c>
    </row>
    <row r="443" spans="1:14" x14ac:dyDescent="0.2">
      <c r="A443" s="255" t="str">
        <f>výpočty!$R$15</f>
        <v>Poziomy (z lewej strony na prawą)</v>
      </c>
      <c r="B443" t="str">
        <f>výpočty!$R$11</f>
        <v>Z mecjanizmem C3</v>
      </c>
      <c r="C443" t="str">
        <f>výpočty!$R$5</f>
        <v>Frame - nakładany z listwą maskującą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Mechanizmu C3 nie da się zastosować przy poziomym ruchu żaluzji.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Mechanizmu C3 nie da się zastosować przy poziomym ruchu żaluzji.</v>
      </c>
      <c r="N443">
        <f t="shared" si="20"/>
        <v>1</v>
      </c>
    </row>
    <row r="444" spans="1:14" x14ac:dyDescent="0.2">
      <c r="A444" s="255" t="str">
        <f>výpočty!$R$15</f>
        <v>Poziomy (z lewej strony na prawą)</v>
      </c>
      <c r="B444" t="str">
        <f>výpočty!$R$11</f>
        <v>Z mecjanizmem C3</v>
      </c>
      <c r="C444" t="str">
        <f>výpočty!$R$5</f>
        <v>Frame - nakładany z listwą maskującą</v>
      </c>
      <c r="D444" s="36" t="str">
        <f>výpočty!$W$14</f>
        <v>śnieżno biala mat (E9)</v>
      </c>
      <c r="E444" t="s">
        <v>2131</v>
      </c>
      <c r="F444">
        <v>1</v>
      </c>
      <c r="G444" t="str">
        <f>Překlady!$A$154</f>
        <v>Mechanizmu C3 nie da się zastosować przy poziomym ruchu żaluzji.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Mechanizmu C3 nie da się zastosować przy poziomym ruchu żaluzji.</v>
      </c>
      <c r="N444">
        <f t="shared" si="20"/>
        <v>1</v>
      </c>
    </row>
    <row r="445" spans="1:14" x14ac:dyDescent="0.2">
      <c r="A445" s="255" t="str">
        <f>výpočty!$R$15</f>
        <v>Poziomy (z lewej strony na prawą)</v>
      </c>
      <c r="B445" t="str">
        <f>výpočty!$R$11</f>
        <v>Z mecjanizmem C3</v>
      </c>
      <c r="C445" t="str">
        <f>výpočty!$R$5</f>
        <v>Frame - nakładany z listwą maskującą</v>
      </c>
      <c r="D445" s="36" t="str">
        <f>výpočty!$W$15</f>
        <v>Aluminowa plastik (E4)</v>
      </c>
      <c r="E445" t="s">
        <v>2131</v>
      </c>
      <c r="F445">
        <v>1</v>
      </c>
      <c r="G445" s="321" t="str">
        <f>Překlady!$A$143</f>
        <v>Kolor aluminium plastik w profilu E4 jest idealny do poziomych rozwiązań w kombinacji z prowadzeniem Classic z systemem nawijania do tyłu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Kolor aluminium plastik w profilu E4 jest idealny do poziomych rozwiązań w kombinacji z prowadzeniem Classic z systemem nawijania do tyłu</v>
      </c>
      <c r="N445">
        <f t="shared" si="20"/>
        <v>1</v>
      </c>
    </row>
    <row r="446" spans="1:14" x14ac:dyDescent="0.2">
      <c r="A446" s="255" t="str">
        <f>výpočty!$R$15</f>
        <v>Poziomy (z lewej strony na prawą)</v>
      </c>
      <c r="B446" t="str">
        <f>výpočty!$R$11</f>
        <v>Z mecjanizmem C3</v>
      </c>
      <c r="C446" t="str">
        <f>výpočty!$R$5</f>
        <v>Frame - nakładany z listwą maskującą</v>
      </c>
      <c r="D446" s="36">
        <f>výpočty!$W$17</f>
        <v>0</v>
      </c>
      <c r="E446" t="s">
        <v>2131</v>
      </c>
      <c r="F446">
        <v>1</v>
      </c>
      <c r="G446" t="str">
        <f>Překlady!$A$154</f>
        <v>Mechanizmu C3 nie da się zastosować przy poziomym ruchu żaluzji.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Mechanizmu C3 nie da się zastosować przy poziomym ruchu żaluzji.</v>
      </c>
      <c r="N446">
        <f t="shared" si="20"/>
        <v>1</v>
      </c>
    </row>
    <row r="447" spans="1:14" x14ac:dyDescent="0.2">
      <c r="A447" s="255" t="str">
        <f>výpočty!$R$15</f>
        <v>Poziomy (z lewej strony na prawą)</v>
      </c>
      <c r="B447" t="str">
        <f>výpočty!$R$11</f>
        <v>Z mecjanizmem C3</v>
      </c>
      <c r="C447" t="str">
        <f>výpočty!$R$5</f>
        <v>Frame - nakładany z listwą maskującą</v>
      </c>
      <c r="D447" s="36">
        <f>výpočty!$W$18</f>
        <v>0</v>
      </c>
      <c r="E447" t="s">
        <v>2131</v>
      </c>
      <c r="F447">
        <v>1</v>
      </c>
      <c r="G447" t="str">
        <f>Překlady!$A$154</f>
        <v>Mechanizmu C3 nie da się zastosować przy poziomym ruchu żaluzji.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Mechanizmu C3 nie da się zastosować przy poziomym ruchu żaluzji.</v>
      </c>
      <c r="N447">
        <f t="shared" si="20"/>
        <v>1</v>
      </c>
    </row>
    <row r="448" spans="1:14" x14ac:dyDescent="0.2">
      <c r="A448" s="255" t="str">
        <f>výpočty!$R$15</f>
        <v>Poziomy (z lewej strony na prawą)</v>
      </c>
      <c r="B448" t="str">
        <f>výpočty!$R$11</f>
        <v>Z mecjanizmem C3</v>
      </c>
      <c r="C448" t="str">
        <f>výpočty!$R$5</f>
        <v>Frame - nakładany z listwą maskującą</v>
      </c>
      <c r="D448" s="36" t="str">
        <f>výpočty!$W$19</f>
        <v>Aluminium szerokość 25 mm (metallic-line)</v>
      </c>
      <c r="E448" t="s">
        <v>2131</v>
      </c>
      <c r="F448">
        <v>1</v>
      </c>
      <c r="G448" t="str">
        <f>Překlady!$A$154</f>
        <v>Mechanizmu C3 nie da się zastosować przy poziomym ruchu żaluzji.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Mechanizmu C3 nie da się zastosować przy poziomym ruchu żaluzji.</v>
      </c>
      <c r="N448">
        <f t="shared" si="20"/>
        <v>1</v>
      </c>
    </row>
    <row r="449" spans="1:14" ht="13.5" thickBot="1" x14ac:dyDescent="0.25">
      <c r="A449" s="255" t="str">
        <f>výpočty!$R$15</f>
        <v>Poziomy (z lewej strony na prawą)</v>
      </c>
      <c r="B449" t="str">
        <f>výpočty!$R$11</f>
        <v>Z mecjanizmem C3</v>
      </c>
      <c r="C449" t="str">
        <f>výpočty!$R$5</f>
        <v>Frame - nakładany z listwą maskującą</v>
      </c>
      <c r="D449" s="27" t="str">
        <f>výpočty!$W$20</f>
        <v>Nierdz. szerokość 25 mm (metallic-line)</v>
      </c>
      <c r="E449" t="s">
        <v>2131</v>
      </c>
      <c r="F449">
        <v>1</v>
      </c>
      <c r="G449" t="str">
        <f>Překlady!$A$154</f>
        <v>Mechanizmu C3 nie da się zastosować przy poziomym ruchu żaluzji.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Mechanizmu C3 nie da się zastosować przy poziomym ruchu żaluzji.</v>
      </c>
      <c r="N449">
        <f t="shared" si="20"/>
        <v>1</v>
      </c>
    </row>
    <row r="450" spans="1:14" x14ac:dyDescent="0.2">
      <c r="A450" s="255" t="str">
        <f>výpočty!$R$15</f>
        <v>Poziomy (z lewej strony na prawą)</v>
      </c>
      <c r="B450" t="str">
        <f>výpočty!$R$11</f>
        <v>Z mecjanizmem C3</v>
      </c>
      <c r="C450" t="str">
        <f>výpočty!$R$6</f>
        <v>TOP - wpuszczany do przykręcenia metalowy z listwą maskującą</v>
      </c>
      <c r="D450" s="26" t="str">
        <f>výpočty!$W$3</f>
        <v>Czarny (E23)</v>
      </c>
      <c r="E450" t="s">
        <v>2131</v>
      </c>
      <c r="F450">
        <v>1</v>
      </c>
      <c r="G450" t="str">
        <f>Překlady!$A$154</f>
        <v>Mechanizmu C3 nie da się zastosować przy poziomym ruchu żaluzji.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Mechanizmu C3 nie da się zastosować przy poziomym ruchu żaluzji.</v>
      </c>
      <c r="N450">
        <f t="shared" si="20"/>
        <v>1</v>
      </c>
    </row>
    <row r="451" spans="1:14" x14ac:dyDescent="0.2">
      <c r="A451" s="255" t="str">
        <f>výpočty!$R$15</f>
        <v>Poziomy (z lewej strony na prawą)</v>
      </c>
      <c r="B451" t="str">
        <f>výpočty!$R$11</f>
        <v>Z mecjanizmem C3</v>
      </c>
      <c r="C451" t="str">
        <f>výpočty!$R$6</f>
        <v>TOP - wpuszczany do przykręcenia metalowy z listwą maskującą</v>
      </c>
      <c r="D451" s="36" t="str">
        <f>výpočty!$W$4</f>
        <v>Biały (E23)</v>
      </c>
      <c r="E451" t="s">
        <v>2131</v>
      </c>
      <c r="F451">
        <v>1</v>
      </c>
      <c r="G451" t="str">
        <f>Překlady!$A$154</f>
        <v>Mechanizmu C3 nie da się zastosować przy poziomym ruchu żaluzji.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Mechanizmu C3 nie da się zastosować przy poziomym ruchu żaluzji.</v>
      </c>
      <c r="N451">
        <f t="shared" ref="N451:N482" si="23">F:F</f>
        <v>1</v>
      </c>
    </row>
    <row r="452" spans="1:14" x14ac:dyDescent="0.2">
      <c r="A452" s="255" t="str">
        <f>výpočty!$R$15</f>
        <v>Poziomy (z lewej strony na prawą)</v>
      </c>
      <c r="B452" t="str">
        <f>výpočty!$R$11</f>
        <v>Z mecjanizmem C3</v>
      </c>
      <c r="C452" t="str">
        <f>výpočty!$R$6</f>
        <v>TOP - wpuszczany do przykręcenia metalowy z listwą maskującą</v>
      </c>
      <c r="D452" s="36" t="str">
        <f>výpočty!$W$5</f>
        <v>Szary (E23)</v>
      </c>
      <c r="E452" t="s">
        <v>2131</v>
      </c>
      <c r="F452">
        <v>1</v>
      </c>
      <c r="G452" t="str">
        <f>Překlady!$A$154</f>
        <v>Mechanizmu C3 nie da się zastosować przy poziomym ruchu żaluzji.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Mechanizmu C3 nie da się zastosować przy poziomym ruchu żaluzji.</v>
      </c>
      <c r="N452">
        <f t="shared" si="23"/>
        <v>1</v>
      </c>
    </row>
    <row r="453" spans="1:14" x14ac:dyDescent="0.2">
      <c r="A453" s="255" t="str">
        <f>výpočty!$R$15</f>
        <v>Poziomy (z lewej strony na prawą)</v>
      </c>
      <c r="B453" t="str">
        <f>výpočty!$R$11</f>
        <v>Z mecjanizmem C3</v>
      </c>
      <c r="C453" t="str">
        <f>výpočty!$R$6</f>
        <v>TOP - wpuszczany do przykręcenia metalowy z listwą maskującą</v>
      </c>
      <c r="D453" s="36" t="str">
        <f>výpočty!$W$6</f>
        <v>Aluminowa plastik (E23)</v>
      </c>
      <c r="E453" t="s">
        <v>2131</v>
      </c>
      <c r="F453">
        <v>1</v>
      </c>
      <c r="G453" t="str">
        <f>Překlady!$A$154</f>
        <v>Mechanizmu C3 nie da się zastosować przy poziomym ruchu żaluzji.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Mechanizmu C3 nie da się zastosować przy poziomym ruchu żaluzji.</v>
      </c>
      <c r="N453">
        <f t="shared" si="23"/>
        <v>1</v>
      </c>
    </row>
    <row r="454" spans="1:14" x14ac:dyDescent="0.2">
      <c r="A454" s="255" t="str">
        <f>výpočty!$R$15</f>
        <v>Poziomy (z lewej strony na prawą)</v>
      </c>
      <c r="B454" t="str">
        <f>výpočty!$R$11</f>
        <v>Z mecjanizmem C3</v>
      </c>
      <c r="C454" t="str">
        <f>výpočty!$R$6</f>
        <v>TOP - wpuszczany do przykręcenia metalowy z listwą maskującą</v>
      </c>
      <c r="D454" s="36" t="str">
        <f>výpočty!$W$7</f>
        <v>Buk (E23)</v>
      </c>
      <c r="E454" t="s">
        <v>2131</v>
      </c>
      <c r="F454">
        <v>1</v>
      </c>
      <c r="G454" t="str">
        <f>Překlady!$A$154</f>
        <v>Mechanizmu C3 nie da się zastosować przy poziomym ruchu żaluzji.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Mechanizmu C3 nie da się zastosować przy poziomym ruchu żaluzji.</v>
      </c>
      <c r="N454">
        <f t="shared" si="23"/>
        <v>1</v>
      </c>
    </row>
    <row r="455" spans="1:14" x14ac:dyDescent="0.2">
      <c r="A455" s="255" t="str">
        <f>výpočty!$R$15</f>
        <v>Poziomy (z lewej strony na prawą)</v>
      </c>
      <c r="B455" t="str">
        <f>výpočty!$R$11</f>
        <v>Z mecjanizmem C3</v>
      </c>
      <c r="C455" t="str">
        <f>výpočty!$R$6</f>
        <v>TOP - wpuszczany do przykręcenia metalowy z listwą maskującą</v>
      </c>
      <c r="D455" s="36" t="str">
        <f>výpočty!$W$8</f>
        <v>Czereśnia (E23)</v>
      </c>
      <c r="E455" t="s">
        <v>2131</v>
      </c>
      <c r="F455">
        <v>1</v>
      </c>
      <c r="G455" t="str">
        <f>Překlady!$A$154</f>
        <v>Mechanizmu C3 nie da się zastosować przy poziomym ruchu żaluzji.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Mechanizmu C3 nie da się zastosować przy poziomym ruchu żaluzji.</v>
      </c>
      <c r="N455">
        <f t="shared" si="23"/>
        <v>1</v>
      </c>
    </row>
    <row r="456" spans="1:14" x14ac:dyDescent="0.2">
      <c r="A456" s="255" t="str">
        <f>výpočty!$R$15</f>
        <v>Poziomy (z lewej strony na prawą)</v>
      </c>
      <c r="B456" t="str">
        <f>výpočty!$R$11</f>
        <v>Z mecjanizmem C3</v>
      </c>
      <c r="C456" t="str">
        <f>výpočty!$R$6</f>
        <v>TOP - wpuszczany do przykręcenia metalowy z listwą maskującą</v>
      </c>
      <c r="D456" s="36" t="str">
        <f>výpočty!$W$9</f>
        <v>Klon (E23)</v>
      </c>
      <c r="E456" t="s">
        <v>2131</v>
      </c>
      <c r="F456">
        <v>1</v>
      </c>
      <c r="G456" t="str">
        <f>Překlady!$A$154</f>
        <v>Mechanizmu C3 nie da się zastosować przy poziomym ruchu żaluzji.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Mechanizmu C3 nie da się zastosować przy poziomym ruchu żaluzji.</v>
      </c>
      <c r="N456">
        <f t="shared" si="23"/>
        <v>1</v>
      </c>
    </row>
    <row r="457" spans="1:14" x14ac:dyDescent="0.2">
      <c r="A457" s="255" t="str">
        <f>výpočty!$R$15</f>
        <v>Poziomy (z lewej strony na prawą)</v>
      </c>
      <c r="B457" t="str">
        <f>výpočty!$R$11</f>
        <v>Z mecjanizmem C3</v>
      </c>
      <c r="C457" t="str">
        <f>výpočty!$R$6</f>
        <v>TOP - wpuszczany do przykręcenia metalowy z listwą maskującą</v>
      </c>
      <c r="D457" s="36" t="str">
        <f>výpočty!$W$10</f>
        <v>Brzoza (E23)</v>
      </c>
      <c r="E457" t="s">
        <v>2131</v>
      </c>
      <c r="F457">
        <v>1</v>
      </c>
      <c r="G457" t="str">
        <f>Překlady!$A$154</f>
        <v>Mechanizmu C3 nie da się zastosować przy poziomym ruchu żaluzji.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Mechanizmu C3 nie da się zastosować przy poziomym ruchu żaluzji.</v>
      </c>
      <c r="N457">
        <f t="shared" si="23"/>
        <v>1</v>
      </c>
    </row>
    <row r="458" spans="1:14" x14ac:dyDescent="0.2">
      <c r="A458" s="255" t="str">
        <f>výpočty!$R$15</f>
        <v>Poziomy (z lewej strony na prawą)</v>
      </c>
      <c r="B458" t="str">
        <f>výpočty!$R$11</f>
        <v>Z mecjanizmem C3</v>
      </c>
      <c r="C458" t="str">
        <f>výpočty!$R$6</f>
        <v>TOP - wpuszczany do przykręcenia metalowy z listwą maskującą</v>
      </c>
      <c r="D458" s="36" t="str">
        <f>výpočty!$W$11</f>
        <v>Czereśnia havana (E23)</v>
      </c>
      <c r="E458" t="s">
        <v>2131</v>
      </c>
      <c r="F458">
        <v>1</v>
      </c>
      <c r="G458" t="str">
        <f>Překlady!$A$154</f>
        <v>Mechanizmu C3 nie da się zastosować przy poziomym ruchu żaluzji.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Mechanizmu C3 nie da się zastosować przy poziomym ruchu żaluzji.</v>
      </c>
      <c r="N458">
        <f t="shared" si="23"/>
        <v>1</v>
      </c>
    </row>
    <row r="459" spans="1:14" x14ac:dyDescent="0.2">
      <c r="A459" s="255" t="str">
        <f>výpočty!$R$15</f>
        <v>Poziomy (z lewej strony na prawą)</v>
      </c>
      <c r="B459" t="str">
        <f>výpočty!$R$11</f>
        <v>Z mecjanizmem C3</v>
      </c>
      <c r="C459" t="str">
        <f>výpočty!$R$6</f>
        <v>TOP - wpuszczany do przykręcenia metalowy z listwą maskującą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Mechanizmu C3 nie da się zastosować przy poziomym ruchu żaluzji.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Mechanizmu C3 nie da się zastosować przy poziomym ruchu żaluzji.</v>
      </c>
      <c r="N459">
        <f t="shared" si="23"/>
        <v>1</v>
      </c>
    </row>
    <row r="460" spans="1:14" x14ac:dyDescent="0.2">
      <c r="A460" s="255" t="str">
        <f>výpočty!$R$15</f>
        <v>Poziomy (z lewej strony na prawą)</v>
      </c>
      <c r="B460" t="str">
        <f>výpočty!$R$11</f>
        <v>Z mecjanizmem C3</v>
      </c>
      <c r="C460" t="str">
        <f>výpočty!$R$6</f>
        <v>TOP - wpuszczany do przykręcenia metalowy z listwą maskującą</v>
      </c>
      <c r="D460" s="36" t="str">
        <f>výpočty!$W$14</f>
        <v>śnieżno biala mat (E9)</v>
      </c>
      <c r="E460" t="s">
        <v>2131</v>
      </c>
      <c r="F460">
        <v>1</v>
      </c>
      <c r="G460" t="str">
        <f>Překlady!$A$154</f>
        <v>Mechanizmu C3 nie da się zastosować przy poziomym ruchu żaluzji.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Mechanizmu C3 nie da się zastosować przy poziomym ruchu żaluzji.</v>
      </c>
      <c r="N460">
        <f t="shared" si="23"/>
        <v>1</v>
      </c>
    </row>
    <row r="461" spans="1:14" x14ac:dyDescent="0.2">
      <c r="A461" s="255" t="str">
        <f>výpočty!$R$15</f>
        <v>Poziomy (z lewej strony na prawą)</v>
      </c>
      <c r="B461" t="str">
        <f>výpočty!$R$11</f>
        <v>Z mecjanizmem C3</v>
      </c>
      <c r="C461" t="str">
        <f>výpočty!$R$6</f>
        <v>TOP - wpuszczany do przykręcenia metalowy z listwą maskującą</v>
      </c>
      <c r="D461" s="36" t="str">
        <f>výpočty!$W$15</f>
        <v>Aluminowa plastik (E4)</v>
      </c>
      <c r="E461" t="s">
        <v>2131</v>
      </c>
      <c r="F461">
        <v>1</v>
      </c>
      <c r="G461" s="321" t="str">
        <f>Překlady!$A$143</f>
        <v>Kolor aluminium plastik w profilu E4 jest idealny do poziomych rozwiązań w kombinacji z prowadzeniem Classic z systemem nawijania do tyłu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Kolor aluminium plastik w profilu E4 jest idealny do poziomych rozwiązań w kombinacji z prowadzeniem Classic z systemem nawijania do tyłu</v>
      </c>
      <c r="N461">
        <f t="shared" si="23"/>
        <v>1</v>
      </c>
    </row>
    <row r="462" spans="1:14" x14ac:dyDescent="0.2">
      <c r="A462" s="255" t="str">
        <f>výpočty!$R$15</f>
        <v>Poziomy (z lewej strony na prawą)</v>
      </c>
      <c r="B462" t="str">
        <f>výpočty!$R$11</f>
        <v>Z mecjanizmem C3</v>
      </c>
      <c r="C462" t="str">
        <f>výpočty!$R$6</f>
        <v>TOP - wpuszczany do przykręcenia metalowy z listwą maskującą</v>
      </c>
      <c r="D462" s="36">
        <f>výpočty!$W$17</f>
        <v>0</v>
      </c>
      <c r="E462" t="s">
        <v>2131</v>
      </c>
      <c r="F462">
        <v>1</v>
      </c>
      <c r="G462" t="str">
        <f>Překlady!$A$154</f>
        <v>Mechanizmu C3 nie da się zastosować przy poziomym ruchu żaluzji.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Mechanizmu C3 nie da się zastosować przy poziomym ruchu żaluzji.</v>
      </c>
      <c r="N462">
        <f t="shared" si="23"/>
        <v>1</v>
      </c>
    </row>
    <row r="463" spans="1:14" x14ac:dyDescent="0.2">
      <c r="A463" s="255" t="str">
        <f>výpočty!$R$15</f>
        <v>Poziomy (z lewej strony na prawą)</v>
      </c>
      <c r="B463" t="str">
        <f>výpočty!$R$11</f>
        <v>Z mecjanizmem C3</v>
      </c>
      <c r="C463" t="str">
        <f>výpočty!$R$6</f>
        <v>TOP - wpuszczany do przykręcenia metalowy z listwą maskującą</v>
      </c>
      <c r="D463" s="36">
        <f>výpočty!$W$18</f>
        <v>0</v>
      </c>
      <c r="E463" t="s">
        <v>2131</v>
      </c>
      <c r="F463">
        <v>1</v>
      </c>
      <c r="G463" t="str">
        <f>Překlady!$A$154</f>
        <v>Mechanizmu C3 nie da się zastosować przy poziomym ruchu żaluzji.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Mechanizmu C3 nie da się zastosować przy poziomym ruchu żaluzji.</v>
      </c>
      <c r="N463">
        <f t="shared" si="23"/>
        <v>1</v>
      </c>
    </row>
    <row r="464" spans="1:14" x14ac:dyDescent="0.2">
      <c r="A464" s="255" t="str">
        <f>výpočty!$R$15</f>
        <v>Poziomy (z lewej strony na prawą)</v>
      </c>
      <c r="B464" t="str">
        <f>výpočty!$R$11</f>
        <v>Z mecjanizmem C3</v>
      </c>
      <c r="C464" t="str">
        <f>výpočty!$R$6</f>
        <v>TOP - wpuszczany do przykręcenia metalowy z listwą maskującą</v>
      </c>
      <c r="D464" s="36" t="str">
        <f>výpočty!$W$19</f>
        <v>Aluminium szerokość 25 mm (metallic-line)</v>
      </c>
      <c r="E464" t="s">
        <v>2131</v>
      </c>
      <c r="F464">
        <v>1</v>
      </c>
      <c r="G464" t="str">
        <f>Překlady!$A$154</f>
        <v>Mechanizmu C3 nie da się zastosować przy poziomym ruchu żaluzji.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Mechanizmu C3 nie da się zastosować przy poziomym ruchu żaluzji.</v>
      </c>
      <c r="N464">
        <f t="shared" si="23"/>
        <v>1</v>
      </c>
    </row>
    <row r="465" spans="1:14" ht="13.5" thickBot="1" x14ac:dyDescent="0.25">
      <c r="A465" s="255" t="str">
        <f>výpočty!$R$15</f>
        <v>Poziomy (z lewej strony na prawą)</v>
      </c>
      <c r="B465" t="str">
        <f>výpočty!$R$11</f>
        <v>Z mecjanizmem C3</v>
      </c>
      <c r="C465" t="str">
        <f>výpočty!$R$6</f>
        <v>TOP - wpuszczany do przykręcenia metalowy z listwą maskującą</v>
      </c>
      <c r="D465" s="27" t="str">
        <f>výpočty!$W$20</f>
        <v>Nierdz. szerokość 25 mm (metallic-line)</v>
      </c>
      <c r="E465" t="s">
        <v>2131</v>
      </c>
      <c r="F465">
        <v>1</v>
      </c>
      <c r="G465" t="str">
        <f>Překlady!$A$154</f>
        <v>Mechanizmu C3 nie da się zastosować przy poziomym ruchu żaluzji.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Mechanizmu C3 nie da się zastosować przy poziomym ruchu żaluzji.</v>
      </c>
      <c r="N465">
        <f t="shared" si="23"/>
        <v>1</v>
      </c>
    </row>
    <row r="466" spans="1:14" x14ac:dyDescent="0.2">
      <c r="A466" s="255" t="str">
        <f>výpočty!$R$15</f>
        <v>Poziomy (z lewej strony na prawą)</v>
      </c>
      <c r="B466" t="str">
        <f>výpočty!$R$11</f>
        <v>Z mecjanizmem C3</v>
      </c>
      <c r="C466" t="str">
        <f>výpočty!$R$7</f>
        <v>Nakładany z prowadzeniem metalic-line 29 mm i mechanimem C3</v>
      </c>
      <c r="D466" s="26" t="str">
        <f>výpočty!$W$3</f>
        <v>Czarny (E23)</v>
      </c>
      <c r="E466" t="s">
        <v>2131</v>
      </c>
      <c r="F466">
        <v>1</v>
      </c>
      <c r="G466" t="str">
        <f>Překlady!$A$154</f>
        <v>Mechanizmu C3 nie da się zastosować przy poziomym ruchu żaluzji.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Mechanizmu C3 nie da się zastosować przy poziomym ruchu żaluzji.</v>
      </c>
      <c r="N466">
        <f t="shared" si="23"/>
        <v>1</v>
      </c>
    </row>
    <row r="467" spans="1:14" x14ac:dyDescent="0.2">
      <c r="A467" s="255" t="str">
        <f>výpočty!$R$15</f>
        <v>Poziomy (z lewej strony na prawą)</v>
      </c>
      <c r="B467" t="str">
        <f>výpočty!$R$11</f>
        <v>Z mecjanizmem C3</v>
      </c>
      <c r="C467" t="str">
        <f>výpočty!$R$7</f>
        <v>Nakładany z prowadzeniem metalic-line 29 mm i mechanimem C3</v>
      </c>
      <c r="D467" s="36" t="str">
        <f>výpočty!$W$4</f>
        <v>Biały (E23)</v>
      </c>
      <c r="E467" t="s">
        <v>2131</v>
      </c>
      <c r="F467">
        <v>1</v>
      </c>
      <c r="G467" t="str">
        <f>Překlady!$A$154</f>
        <v>Mechanizmu C3 nie da się zastosować przy poziomym ruchu żaluzji.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Mechanizmu C3 nie da się zastosować przy poziomym ruchu żaluzji.</v>
      </c>
      <c r="N467">
        <f t="shared" si="23"/>
        <v>1</v>
      </c>
    </row>
    <row r="468" spans="1:14" x14ac:dyDescent="0.2">
      <c r="A468" s="255" t="str">
        <f>výpočty!$R$15</f>
        <v>Poziomy (z lewej strony na prawą)</v>
      </c>
      <c r="B468" t="str">
        <f>výpočty!$R$11</f>
        <v>Z mecjanizmem C3</v>
      </c>
      <c r="C468" t="str">
        <f>výpočty!$R$7</f>
        <v>Nakładany z prowadzeniem metalic-line 29 mm i mechanimem C3</v>
      </c>
      <c r="D468" s="36" t="str">
        <f>výpočty!$W$5</f>
        <v>Szary (E23)</v>
      </c>
      <c r="E468" t="s">
        <v>2131</v>
      </c>
      <c r="F468">
        <v>1</v>
      </c>
      <c r="G468" t="str">
        <f>Překlady!$A$154</f>
        <v>Mechanizmu C3 nie da się zastosować przy poziomym ruchu żaluzji.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Mechanizmu C3 nie da się zastosować przy poziomym ruchu żaluzji.</v>
      </c>
      <c r="N468">
        <f t="shared" si="23"/>
        <v>1</v>
      </c>
    </row>
    <row r="469" spans="1:14" x14ac:dyDescent="0.2">
      <c r="A469" s="255" t="str">
        <f>výpočty!$R$15</f>
        <v>Poziomy (z lewej strony na prawą)</v>
      </c>
      <c r="B469" t="str">
        <f>výpočty!$R$11</f>
        <v>Z mecjanizmem C3</v>
      </c>
      <c r="C469" t="str">
        <f>výpočty!$R$7</f>
        <v>Nakładany z prowadzeniem metalic-line 29 mm i mechanimem C3</v>
      </c>
      <c r="D469" s="36" t="str">
        <f>výpočty!$W$6</f>
        <v>Aluminowa plastik (E23)</v>
      </c>
      <c r="E469" t="s">
        <v>2131</v>
      </c>
      <c r="F469">
        <v>1</v>
      </c>
      <c r="G469" t="str">
        <f>Překlady!$A$154</f>
        <v>Mechanizmu C3 nie da się zastosować przy poziomym ruchu żaluzji.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Mechanizmu C3 nie da się zastosować przy poziomym ruchu żaluzji.</v>
      </c>
      <c r="N469">
        <f t="shared" si="23"/>
        <v>1</v>
      </c>
    </row>
    <row r="470" spans="1:14" x14ac:dyDescent="0.2">
      <c r="A470" s="255" t="str">
        <f>výpočty!$R$15</f>
        <v>Poziomy (z lewej strony na prawą)</v>
      </c>
      <c r="B470" t="str">
        <f>výpočty!$R$11</f>
        <v>Z mecjanizmem C3</v>
      </c>
      <c r="C470" t="str">
        <f>výpočty!$R$7</f>
        <v>Nakładany z prowadzeniem metalic-line 29 mm i mechanimem C3</v>
      </c>
      <c r="D470" s="36" t="str">
        <f>výpočty!$W$7</f>
        <v>Buk (E23)</v>
      </c>
      <c r="E470" t="s">
        <v>2131</v>
      </c>
      <c r="F470">
        <v>1</v>
      </c>
      <c r="G470" t="str">
        <f>Překlady!$A$154</f>
        <v>Mechanizmu C3 nie da się zastosować przy poziomym ruchu żaluzji.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Mechanizmu C3 nie da się zastosować przy poziomym ruchu żaluzji.</v>
      </c>
      <c r="N470">
        <f t="shared" si="23"/>
        <v>1</v>
      </c>
    </row>
    <row r="471" spans="1:14" x14ac:dyDescent="0.2">
      <c r="A471" s="255" t="str">
        <f>výpočty!$R$15</f>
        <v>Poziomy (z lewej strony na prawą)</v>
      </c>
      <c r="B471" t="str">
        <f>výpočty!$R$11</f>
        <v>Z mecjanizmem C3</v>
      </c>
      <c r="C471" t="str">
        <f>výpočty!$R$7</f>
        <v>Nakładany z prowadzeniem metalic-line 29 mm i mechanimem C3</v>
      </c>
      <c r="D471" s="36" t="str">
        <f>výpočty!$W$8</f>
        <v>Czereśnia (E23)</v>
      </c>
      <c r="E471" t="s">
        <v>2131</v>
      </c>
      <c r="F471">
        <v>1</v>
      </c>
      <c r="G471" t="str">
        <f>Překlady!$A$154</f>
        <v>Mechanizmu C3 nie da się zastosować przy poziomym ruchu żaluzji.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Mechanizmu C3 nie da się zastosować przy poziomym ruchu żaluzji.</v>
      </c>
      <c r="N471">
        <f t="shared" si="23"/>
        <v>1</v>
      </c>
    </row>
    <row r="472" spans="1:14" x14ac:dyDescent="0.2">
      <c r="A472" s="255" t="str">
        <f>výpočty!$R$15</f>
        <v>Poziomy (z lewej strony na prawą)</v>
      </c>
      <c r="B472" t="str">
        <f>výpočty!$R$11</f>
        <v>Z mecjanizmem C3</v>
      </c>
      <c r="C472" t="str">
        <f>výpočty!$R$7</f>
        <v>Nakładany z prowadzeniem metalic-line 29 mm i mechanimem C3</v>
      </c>
      <c r="D472" s="36" t="str">
        <f>výpočty!$W$9</f>
        <v>Klon (E23)</v>
      </c>
      <c r="E472" t="s">
        <v>2131</v>
      </c>
      <c r="F472">
        <v>1</v>
      </c>
      <c r="G472" t="str">
        <f>Překlady!$A$154</f>
        <v>Mechanizmu C3 nie da się zastosować przy poziomym ruchu żaluzji.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Mechanizmu C3 nie da się zastosować przy poziomym ruchu żaluzji.</v>
      </c>
      <c r="N472">
        <f t="shared" si="23"/>
        <v>1</v>
      </c>
    </row>
    <row r="473" spans="1:14" x14ac:dyDescent="0.2">
      <c r="A473" s="255" t="str">
        <f>výpočty!$R$15</f>
        <v>Poziomy (z lewej strony na prawą)</v>
      </c>
      <c r="B473" t="str">
        <f>výpočty!$R$11</f>
        <v>Z mecjanizmem C3</v>
      </c>
      <c r="C473" t="str">
        <f>výpočty!$R$7</f>
        <v>Nakładany z prowadzeniem metalic-line 29 mm i mechanimem C3</v>
      </c>
      <c r="D473" s="36" t="str">
        <f>výpočty!$W$10</f>
        <v>Brzoza (E23)</v>
      </c>
      <c r="E473" t="s">
        <v>2131</v>
      </c>
      <c r="F473">
        <v>1</v>
      </c>
      <c r="G473" t="str">
        <f>Překlady!$A$154</f>
        <v>Mechanizmu C3 nie da się zastosować przy poziomym ruchu żaluzji.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Mechanizmu C3 nie da się zastosować przy poziomym ruchu żaluzji.</v>
      </c>
      <c r="N473">
        <f t="shared" si="23"/>
        <v>1</v>
      </c>
    </row>
    <row r="474" spans="1:14" x14ac:dyDescent="0.2">
      <c r="A474" s="255" t="str">
        <f>výpočty!$R$15</f>
        <v>Poziomy (z lewej strony na prawą)</v>
      </c>
      <c r="B474" t="str">
        <f>výpočty!$R$11</f>
        <v>Z mecjanizmem C3</v>
      </c>
      <c r="C474" t="str">
        <f>výpočty!$R$7</f>
        <v>Nakładany z prowadzeniem metalic-line 29 mm i mechanimem C3</v>
      </c>
      <c r="D474" s="36" t="str">
        <f>výpočty!$W$11</f>
        <v>Czereśnia havana (E23)</v>
      </c>
      <c r="E474" t="s">
        <v>2131</v>
      </c>
      <c r="F474">
        <v>1</v>
      </c>
      <c r="G474" t="str">
        <f>Překlady!$A$154</f>
        <v>Mechanizmu C3 nie da się zastosować przy poziomym ruchu żaluzji.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Mechanizmu C3 nie da się zastosować przy poziomym ruchu żaluzji.</v>
      </c>
      <c r="N474">
        <f t="shared" si="23"/>
        <v>1</v>
      </c>
    </row>
    <row r="475" spans="1:14" x14ac:dyDescent="0.2">
      <c r="A475" s="255" t="str">
        <f>výpočty!$R$15</f>
        <v>Poziomy (z lewej strony na prawą)</v>
      </c>
      <c r="B475" t="str">
        <f>výpočty!$R$11</f>
        <v>Z mecjanizmem C3</v>
      </c>
      <c r="C475" t="str">
        <f>výpočty!$R$7</f>
        <v>Nakładany z prowadzeniem metalic-line 29 mm i mechanimem C3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Mechanizmu C3 nie da się zastosować przy poziomym ruchu żaluzji.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Mechanizmu C3 nie da się zastosować przy poziomym ruchu żaluzji.</v>
      </c>
      <c r="N475">
        <f t="shared" si="23"/>
        <v>1</v>
      </c>
    </row>
    <row r="476" spans="1:14" x14ac:dyDescent="0.2">
      <c r="A476" s="255" t="str">
        <f>výpočty!$R$15</f>
        <v>Poziomy (z lewej strony na prawą)</v>
      </c>
      <c r="B476" t="str">
        <f>výpočty!$R$11</f>
        <v>Z mecjanizmem C3</v>
      </c>
      <c r="C476" t="str">
        <f>výpočty!$R$7</f>
        <v>Nakładany z prowadzeniem metalic-line 29 mm i mechanimem C3</v>
      </c>
      <c r="D476" s="36" t="str">
        <f>výpočty!$W$14</f>
        <v>śnieżno biala mat (E9)</v>
      </c>
      <c r="E476" t="s">
        <v>2131</v>
      </c>
      <c r="F476">
        <v>1</v>
      </c>
      <c r="G476" t="str">
        <f>Překlady!$A$154</f>
        <v>Mechanizmu C3 nie da się zastosować przy poziomym ruchu żaluzji.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Mechanizmu C3 nie da się zastosować przy poziomym ruchu żaluzji.</v>
      </c>
      <c r="N476">
        <f t="shared" si="23"/>
        <v>1</v>
      </c>
    </row>
    <row r="477" spans="1:14" x14ac:dyDescent="0.2">
      <c r="A477" s="255" t="str">
        <f>výpočty!$R$15</f>
        <v>Poziomy (z lewej strony na prawą)</v>
      </c>
      <c r="B477" t="str">
        <f>výpočty!$R$11</f>
        <v>Z mecjanizmem C3</v>
      </c>
      <c r="C477" t="str">
        <f>výpočty!$R$7</f>
        <v>Nakładany z prowadzeniem metalic-line 29 mm i mechanimem C3</v>
      </c>
      <c r="D477" s="36" t="str">
        <f>výpočty!$W$15</f>
        <v>Aluminowa plastik (E4)</v>
      </c>
      <c r="E477" t="s">
        <v>2131</v>
      </c>
      <c r="F477">
        <v>1</v>
      </c>
      <c r="G477" s="321" t="str">
        <f>Překlady!$A$143</f>
        <v>Kolor aluminium plastik w profilu E4 jest idealny do poziomych rozwiązań w kombinacji z prowadzeniem Classic z systemem nawijania do tyłu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Kolor aluminium plastik w profilu E4 jest idealny do poziomych rozwiązań w kombinacji z prowadzeniem Classic z systemem nawijania do tyłu</v>
      </c>
      <c r="N477">
        <f t="shared" si="23"/>
        <v>1</v>
      </c>
    </row>
    <row r="478" spans="1:14" x14ac:dyDescent="0.2">
      <c r="A478" s="255" t="str">
        <f>výpočty!$R$15</f>
        <v>Poziomy (z lewej strony na prawą)</v>
      </c>
      <c r="B478" t="str">
        <f>výpočty!$R$11</f>
        <v>Z mecjanizmem C3</v>
      </c>
      <c r="C478" t="str">
        <f>výpočty!$R$7</f>
        <v>Nakładany z prowadzeniem metalic-line 29 mm i mechanimem C3</v>
      </c>
      <c r="D478" s="36">
        <f>výpočty!$W$17</f>
        <v>0</v>
      </c>
      <c r="E478" t="s">
        <v>2131</v>
      </c>
      <c r="F478">
        <v>1</v>
      </c>
      <c r="G478" t="str">
        <f>Překlady!$A$154</f>
        <v>Mechanizmu C3 nie da się zastosować przy poziomym ruchu żaluzji.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Mechanizmu C3 nie da się zastosować przy poziomym ruchu żaluzji.</v>
      </c>
      <c r="N478">
        <f t="shared" si="23"/>
        <v>1</v>
      </c>
    </row>
    <row r="479" spans="1:14" x14ac:dyDescent="0.2">
      <c r="A479" s="255" t="str">
        <f>výpočty!$R$15</f>
        <v>Poziomy (z lewej strony na prawą)</v>
      </c>
      <c r="B479" t="str">
        <f>výpočty!$R$11</f>
        <v>Z mecjanizmem C3</v>
      </c>
      <c r="C479" t="str">
        <f>výpočty!$R$7</f>
        <v>Nakładany z prowadzeniem metalic-line 29 mm i mechanimem C3</v>
      </c>
      <c r="D479" s="36">
        <f>výpočty!$W$18</f>
        <v>0</v>
      </c>
      <c r="E479" t="s">
        <v>2131</v>
      </c>
      <c r="F479">
        <v>1</v>
      </c>
      <c r="G479" t="str">
        <f>Překlady!$A$154</f>
        <v>Mechanizmu C3 nie da się zastosować przy poziomym ruchu żaluzji.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Mechanizmu C3 nie da się zastosować przy poziomym ruchu żaluzji.</v>
      </c>
      <c r="N479">
        <f t="shared" si="23"/>
        <v>1</v>
      </c>
    </row>
    <row r="480" spans="1:14" x14ac:dyDescent="0.2">
      <c r="A480" s="255" t="str">
        <f>výpočty!$R$15</f>
        <v>Poziomy (z lewej strony na prawą)</v>
      </c>
      <c r="B480" t="str">
        <f>výpočty!$R$11</f>
        <v>Z mecjanizmem C3</v>
      </c>
      <c r="C480" t="str">
        <f>výpočty!$R$7</f>
        <v>Nakładany z prowadzeniem metalic-line 29 mm i mechanimem C3</v>
      </c>
      <c r="D480" s="36" t="str">
        <f>výpočty!$W$19</f>
        <v>Aluminium szerokość 25 mm (metallic-line)</v>
      </c>
      <c r="E480" t="s">
        <v>2131</v>
      </c>
      <c r="F480">
        <v>1</v>
      </c>
      <c r="G480" t="str">
        <f>Překlady!$A$154</f>
        <v>Mechanizmu C3 nie da się zastosować przy poziomym ruchu żaluzji.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Mechanizmu C3 nie da się zastosować przy poziomym ruchu żaluzji.</v>
      </c>
      <c r="N480">
        <f t="shared" si="23"/>
        <v>1</v>
      </c>
    </row>
    <row r="481" spans="1:14" ht="13.5" thickBot="1" x14ac:dyDescent="0.25">
      <c r="A481" s="255" t="str">
        <f>výpočty!$R$15</f>
        <v>Poziomy (z lewej strony na prawą)</v>
      </c>
      <c r="B481" t="str">
        <f>výpočty!$R$11</f>
        <v>Z mecjanizmem C3</v>
      </c>
      <c r="C481" t="str">
        <f>výpočty!$R$7</f>
        <v>Nakładany z prowadzeniem metalic-line 29 mm i mechanimem C3</v>
      </c>
      <c r="D481" s="27" t="str">
        <f>výpočty!$W$20</f>
        <v>Nierdz. szerokość 25 mm (metallic-line)</v>
      </c>
      <c r="E481" t="s">
        <v>2131</v>
      </c>
      <c r="F481">
        <v>1</v>
      </c>
      <c r="G481" t="str">
        <f>Překlady!$A$154</f>
        <v>Mechanizmu C3 nie da się zastosować przy poziomym ruchu żaluzji.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Mechanizmu C3 nie da się zastosować przy poziomym ruchu żaluzji.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B2" sqref="B2:N2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0" t="str">
        <f>Překlady!A141</f>
        <v xml:space="preserve">Rodzaje profili roletowych 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2"/>
    </row>
    <row r="3" spans="2:14" ht="6.75" customHeight="1" x14ac:dyDescent="0.2"/>
    <row r="4" spans="2:14" x14ac:dyDescent="0.2">
      <c r="C4" s="588" t="s">
        <v>1317</v>
      </c>
      <c r="D4" s="588"/>
      <c r="E4" s="588"/>
      <c r="G4" s="588" t="s">
        <v>2158</v>
      </c>
      <c r="H4" s="588"/>
      <c r="I4" s="588"/>
      <c r="K4" s="588" t="s">
        <v>2159</v>
      </c>
      <c r="L4" s="588"/>
      <c r="M4" s="588"/>
    </row>
    <row r="5" spans="2:14" x14ac:dyDescent="0.2">
      <c r="C5" s="221" t="str">
        <f>Překlady!A165</f>
        <v>plastikowe wykończenie</v>
      </c>
      <c r="G5" s="221" t="str">
        <f>Překlady!A162</f>
        <v>wygląd metaliczny</v>
      </c>
      <c r="K5" s="221" t="str">
        <f>Překlady!A162</f>
        <v>wygląd metaliczny</v>
      </c>
    </row>
    <row r="6" spans="2:14" x14ac:dyDescent="0.2">
      <c r="C6" s="221" t="str">
        <f>Překlady!A166</f>
        <v>profile w różnych kombinacjach kolorystycznych</v>
      </c>
      <c r="G6" s="221" t="str">
        <f>Překlady!A158</f>
        <v>wykończenie kolorystyczne aluminium lub stal nierdzewna</v>
      </c>
      <c r="K6" s="221" t="str">
        <f>Překlady!A158</f>
        <v>wykończenie kolorystyczne aluminium lub stal nierdzewna</v>
      </c>
    </row>
    <row r="7" spans="2:14" x14ac:dyDescent="0.2">
      <c r="C7" s="221" t="str">
        <f>Překlady!$A$20</f>
        <v>Typ systemu prowadzenia</v>
      </c>
      <c r="G7" s="221" t="str">
        <f>Překlady!A164</f>
        <v>szczebelek profilu żaluzjowego jest od wewnątrz otwarty</v>
      </c>
      <c r="K7" s="221" t="str">
        <f>Překlady!A163</f>
        <v>szczebelek profilu żaluzjowego jest zamkniety od wewnątrz</v>
      </c>
    </row>
    <row r="8" spans="2:14" x14ac:dyDescent="0.2">
      <c r="C8" s="362" t="s">
        <v>2170</v>
      </c>
      <c r="G8" s="221" t="str">
        <f>Překlady!$A$20</f>
        <v>Typ systemu prowadzenia</v>
      </c>
      <c r="K8" s="221" t="str">
        <f>Překlady!$A$20</f>
        <v>Typ systemu prowadzenia</v>
      </c>
    </row>
    <row r="9" spans="2:14" x14ac:dyDescent="0.2">
      <c r="C9" s="362" t="s">
        <v>2171</v>
      </c>
      <c r="G9" s="589" t="str">
        <f>Překlady!A159</f>
        <v>Classic (w kombinacji z plastikową prowadnicą)</v>
      </c>
      <c r="H9" s="589"/>
      <c r="I9" s="589"/>
      <c r="K9" s="363" t="str">
        <f>Překlady!A159</f>
        <v>Classic (w kombinacji z plastikową prowadnicą)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593" t="str">
        <f>Překlady!A38</f>
        <v>Nakładany z prowadzeniem metalic-line 29 mm i mechanimem C3</v>
      </c>
      <c r="H12" s="593"/>
      <c r="I12" s="593"/>
      <c r="K12" s="593" t="str">
        <f>Překlady!A38</f>
        <v>Nakładany z prowadzeniem metalic-line 29 mm i mechanimem C3</v>
      </c>
      <c r="L12" s="593"/>
      <c r="M12" s="593"/>
      <c r="N12" s="593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588" t="s">
        <v>2007</v>
      </c>
      <c r="E40" s="588"/>
      <c r="F40" s="588"/>
      <c r="I40" s="588" t="s">
        <v>2006</v>
      </c>
      <c r="J40" s="588"/>
      <c r="K40" s="588"/>
    </row>
    <row r="41" spans="4:11" x14ac:dyDescent="0.2">
      <c r="D41" s="221" t="str">
        <f>Překlady!A165</f>
        <v>plastikowe wykończenie</v>
      </c>
      <c r="I41" s="221" t="str">
        <f>Překlady!A165</f>
        <v>plastikowe wykończenie</v>
      </c>
    </row>
    <row r="42" spans="4:11" x14ac:dyDescent="0.2">
      <c r="D42" s="221" t="str">
        <f>Překlady!A167</f>
        <v>na magazynie design w kolorze śnieżno białym</v>
      </c>
      <c r="I42" s="221" t="str">
        <f>Překlady!A161</f>
        <v>jedynie kolor aluminium plastik</v>
      </c>
    </row>
    <row r="43" spans="4:11" x14ac:dyDescent="0.2">
      <c r="D43" s="221" t="str">
        <f>Překlady!A160</f>
        <v>elegancki wygląd</v>
      </c>
      <c r="I43" s="221" t="str">
        <f>Překlady!A168</f>
        <v xml:space="preserve">odpowiednie do wysokich prowadzeń poziomych </v>
      </c>
    </row>
    <row r="44" spans="4:11" x14ac:dyDescent="0.2">
      <c r="D44" s="221" t="str">
        <f>Překlady!$A$20</f>
        <v>Typ systemu prowadzenia</v>
      </c>
      <c r="I44" s="221" t="str">
        <f>Překlady!$A$20</f>
        <v>Typ systemu prowadzenia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0" t="str">
        <f>Překlady!$A$14</f>
        <v>System nawijania</v>
      </c>
      <c r="C70" s="591"/>
      <c r="D70" s="591"/>
      <c r="E70" s="591"/>
      <c r="F70" s="591"/>
      <c r="G70" s="591"/>
      <c r="H70" s="591"/>
      <c r="I70" s="591"/>
      <c r="J70" s="591"/>
      <c r="K70" s="591"/>
      <c r="L70" s="591"/>
      <c r="M70" s="591"/>
      <c r="N70" s="592"/>
    </row>
    <row r="71" spans="2:14" x14ac:dyDescent="0.2">
      <c r="B71" s="222"/>
      <c r="N71" s="223"/>
    </row>
    <row r="72" spans="2:14" x14ac:dyDescent="0.2">
      <c r="B72" s="222"/>
      <c r="C72" s="611" t="str">
        <f>Překlady!$A$55</f>
        <v>Do tyłu</v>
      </c>
      <c r="D72" s="611"/>
      <c r="E72" s="611"/>
      <c r="G72" s="610" t="str">
        <f>Překlady!$A$56</f>
        <v>Do ślimaka roletowego</v>
      </c>
      <c r="H72" s="610"/>
      <c r="I72" s="227"/>
      <c r="K72" s="610" t="str">
        <f>Překlady!$A$57</f>
        <v>Z mecjanizmem C3</v>
      </c>
      <c r="L72" s="610"/>
      <c r="M72" s="610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607" t="str">
        <f>Překlady!$A$19</f>
        <v>Kierunek ruchu</v>
      </c>
      <c r="C85" s="608"/>
      <c r="D85" s="608"/>
      <c r="E85" s="608"/>
      <c r="F85" s="608"/>
      <c r="G85" s="608"/>
      <c r="H85" s="608"/>
      <c r="I85" s="608"/>
      <c r="J85" s="608"/>
      <c r="K85" s="608"/>
      <c r="L85" s="608"/>
      <c r="M85" s="608"/>
      <c r="N85" s="609"/>
    </row>
    <row r="86" spans="2:14" x14ac:dyDescent="0.2">
      <c r="B86" s="222"/>
      <c r="N86" s="223"/>
    </row>
    <row r="87" spans="2:14" ht="13.5" customHeight="1" x14ac:dyDescent="0.2">
      <c r="B87" s="222"/>
      <c r="C87" s="610" t="str">
        <f>Překlady!$A$59</f>
        <v>Poziomy (z lewej strony na prawą)</v>
      </c>
      <c r="D87" s="610"/>
      <c r="E87" s="610"/>
      <c r="F87" s="610" t="str">
        <f>Překlady!$A$58</f>
        <v>Pionowy (z góry na dół)</v>
      </c>
      <c r="G87" s="610"/>
      <c r="H87" s="610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602" t="str">
        <f>Překlady!$A$35</f>
        <v>Typ systemu prowadzenia</v>
      </c>
      <c r="C102" s="603"/>
      <c r="D102" s="603"/>
      <c r="E102" s="603"/>
      <c r="F102" s="603"/>
      <c r="G102" s="603"/>
      <c r="H102" s="603"/>
      <c r="I102" s="603"/>
      <c r="J102" s="603"/>
      <c r="K102" s="603"/>
      <c r="L102" s="603"/>
      <c r="M102" s="603"/>
      <c r="N102" s="604"/>
    </row>
    <row r="103" spans="2:14" x14ac:dyDescent="0.2">
      <c r="B103" s="222"/>
      <c r="N103" s="223"/>
    </row>
    <row r="104" spans="2:14" x14ac:dyDescent="0.2">
      <c r="B104" s="222"/>
      <c r="C104" s="610" t="str">
        <f>Překlady!$A$36</f>
        <v>TOP Basic - wpuszczany do przykręcenia plastikowy</v>
      </c>
      <c r="D104" s="610"/>
      <c r="E104" s="610"/>
      <c r="H104" s="610" t="str">
        <f>Překlady!$A$37</f>
        <v>Classic - wpuszczany do zafrezowania</v>
      </c>
      <c r="I104" s="610"/>
      <c r="J104" s="610"/>
      <c r="K104" s="610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12" t="str">
        <f>Překlady!$A$104</f>
        <v>System do przykręcania. Tory są dostępne jedynie w unikolorach.</v>
      </c>
      <c r="D122" s="612"/>
      <c r="E122" s="612"/>
      <c r="F122" s="612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53"/>
      <c r="D123" s="553"/>
      <c r="E123" s="553"/>
      <c r="N123" s="223"/>
    </row>
    <row r="124" spans="2:14" ht="27.75" customHeight="1" x14ac:dyDescent="0.2">
      <c r="B124" s="222"/>
      <c r="C124" s="605" t="str">
        <f>Překlady!$A$86</f>
        <v>TOP - wpuszczany do przykręcenia metalowy z listwą maskującą</v>
      </c>
      <c r="D124" s="605"/>
      <c r="E124" s="605"/>
      <c r="F124" s="605"/>
      <c r="G124" s="600" t="str">
        <f>Překlady!$A$85</f>
        <v>Frame - nakładany z listwą maskującą</v>
      </c>
      <c r="H124" s="600"/>
      <c r="I124" s="600"/>
      <c r="J124" s="224"/>
      <c r="K124" s="601" t="str">
        <f>Překlady!$A$38</f>
        <v>Nakładany z prowadzeniem metalic-line 29 mm i mechanimem C3</v>
      </c>
      <c r="L124" s="601"/>
      <c r="M124" s="601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606" t="str">
        <f>Překlady!$A$99</f>
        <v>Do przykręcania. Aluminiowe listwy torowe, które mają osłony w takim samym kolorze jak rolety.</v>
      </c>
      <c r="D140" s="606"/>
      <c r="E140" s="606"/>
      <c r="G140" s="606" t="str">
        <f>CONCATENATE(Překlady!$A$100," ",Překlady!$A$101)</f>
        <v xml:space="preserve">System nakładany (FRAME). Prowadnica tego systemu składa się z dwóch części: aluminowego toru i osłony, która jest w tym samym kolorze co roleta. 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H140" s="606"/>
      <c r="I140" s="606"/>
      <c r="J140" s="287"/>
      <c r="K140" s="606" t="str">
        <f>Překlady!$A$173</f>
        <v>Nakładany system prowadzenia (29 mm). Chodzi o prowadzenie w kolorze aluminium lub stali nierdzewnej w profilu Metallic line i w kombinacji z mechanizmem C3. 
Prowadnice należy przed montażem przygotować zgodnie z rysunkiem poniżej.</v>
      </c>
      <c r="L140" s="606"/>
      <c r="M140" s="606"/>
      <c r="N140" s="223"/>
    </row>
    <row r="141" spans="2:14" x14ac:dyDescent="0.2">
      <c r="B141" s="222"/>
      <c r="C141" s="606"/>
      <c r="D141" s="606"/>
      <c r="E141" s="606"/>
      <c r="G141" s="606"/>
      <c r="H141" s="606"/>
      <c r="I141" s="606"/>
      <c r="J141" s="287"/>
      <c r="K141" s="606"/>
      <c r="L141" s="606"/>
      <c r="M141" s="606"/>
      <c r="N141" s="223"/>
    </row>
    <row r="142" spans="2:14" x14ac:dyDescent="0.2">
      <c r="B142" s="222"/>
      <c r="C142" s="606"/>
      <c r="D142" s="606"/>
      <c r="E142" s="606"/>
      <c r="G142" s="606"/>
      <c r="H142" s="606"/>
      <c r="I142" s="606"/>
      <c r="J142" s="287"/>
      <c r="K142" s="606"/>
      <c r="L142" s="606"/>
      <c r="M142" s="606"/>
      <c r="N142" s="223"/>
    </row>
    <row r="143" spans="2:14" x14ac:dyDescent="0.2">
      <c r="B143" s="222"/>
      <c r="C143" s="606"/>
      <c r="D143" s="606"/>
      <c r="E143" s="606"/>
      <c r="G143" s="606"/>
      <c r="H143" s="606"/>
      <c r="I143" s="606"/>
      <c r="J143" s="287"/>
      <c r="K143" s="606"/>
      <c r="L143" s="606"/>
      <c r="M143" s="606"/>
      <c r="N143" s="223"/>
    </row>
    <row r="144" spans="2:14" x14ac:dyDescent="0.2">
      <c r="B144" s="222"/>
      <c r="C144" s="606"/>
      <c r="D144" s="606"/>
      <c r="E144" s="606"/>
      <c r="G144" s="606"/>
      <c r="H144" s="606"/>
      <c r="I144" s="606"/>
      <c r="J144" s="287"/>
      <c r="K144" s="606"/>
      <c r="L144" s="606"/>
      <c r="M144" s="606"/>
      <c r="N144" s="223"/>
    </row>
    <row r="145" spans="2:14" x14ac:dyDescent="0.2">
      <c r="B145" s="222"/>
      <c r="C145" s="606"/>
      <c r="D145" s="606"/>
      <c r="E145" s="606"/>
      <c r="G145" s="606"/>
      <c r="H145" s="606"/>
      <c r="I145" s="606"/>
      <c r="J145" s="287"/>
      <c r="K145" s="606"/>
      <c r="L145" s="606"/>
      <c r="M145" s="606"/>
      <c r="N145" s="223"/>
    </row>
    <row r="146" spans="2:14" x14ac:dyDescent="0.2">
      <c r="B146" s="222"/>
      <c r="C146" s="606"/>
      <c r="D146" s="606"/>
      <c r="E146" s="606"/>
      <c r="G146" s="606"/>
      <c r="H146" s="606"/>
      <c r="I146" s="606"/>
      <c r="J146" s="287"/>
      <c r="K146" s="606"/>
      <c r="L146" s="606"/>
      <c r="M146" s="606"/>
      <c r="N146" s="223"/>
    </row>
    <row r="147" spans="2:14" x14ac:dyDescent="0.2">
      <c r="B147" s="222"/>
      <c r="C147" s="606"/>
      <c r="D147" s="606"/>
      <c r="E147" s="606"/>
      <c r="G147" s="606"/>
      <c r="H147" s="606"/>
      <c r="I147" s="606"/>
      <c r="J147" s="287"/>
      <c r="K147" s="606"/>
      <c r="L147" s="606"/>
      <c r="M147" s="606"/>
      <c r="N147" s="223"/>
    </row>
    <row r="148" spans="2:14" ht="137.25" customHeight="1" x14ac:dyDescent="0.2">
      <c r="B148" s="222"/>
      <c r="C148" s="606"/>
      <c r="D148" s="606"/>
      <c r="E148" s="606"/>
      <c r="G148" s="606"/>
      <c r="H148" s="606"/>
      <c r="I148" s="606"/>
      <c r="J148" s="287"/>
      <c r="K148" s="606"/>
      <c r="L148" s="606"/>
      <c r="M148" s="606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602" t="str">
        <f>Překlady!$A$21</f>
        <v>Kolor</v>
      </c>
      <c r="C151" s="603"/>
      <c r="D151" s="603"/>
      <c r="E151" s="603"/>
      <c r="F151" s="603"/>
      <c r="G151" s="603"/>
      <c r="H151" s="603"/>
      <c r="I151" s="603"/>
      <c r="J151" s="603"/>
      <c r="K151" s="603"/>
      <c r="L151" s="603"/>
      <c r="M151" s="603"/>
      <c r="N151" s="604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Aluminium (metallic-line)</v>
      </c>
      <c r="F153" s="227" t="str">
        <f>Překlady!$A$61</f>
        <v>Biały (E23)</v>
      </c>
      <c r="I153" s="227" t="str">
        <f>Překlady!$A$63</f>
        <v>Aluminowa plastik (E23)</v>
      </c>
      <c r="M153" s="227" t="str">
        <f>Překlady!$A$68</f>
        <v>Czereśnia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Nierdz. (metallic-line)</v>
      </c>
      <c r="F158" s="227" t="str">
        <f>Překlady!$A$62</f>
        <v>Szary (E23)</v>
      </c>
      <c r="I158" s="227" t="str">
        <f>Překlady!$A$67</f>
        <v>Brzoza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Czarny (E23)</v>
      </c>
      <c r="I163" s="227" t="str">
        <f>Překlady!$A$66</f>
        <v>Klon (E23)</v>
      </c>
      <c r="M163" s="227" t="str">
        <f>Překlady!$A$65</f>
        <v>Czereśnia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Buk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Pion.25.02</v>
      </c>
      <c r="G172" s="225"/>
      <c r="H172" s="225"/>
      <c r="I172" s="225"/>
      <c r="J172" s="225"/>
      <c r="K172" s="225"/>
      <c r="L172" s="598" t="str">
        <f>Překlady!$A$102</f>
        <v>Wzorniki kolorów są jedynie orientacyjne</v>
      </c>
      <c r="M172" s="598"/>
      <c r="N172" s="599"/>
      <c r="O172" s="226"/>
      <c r="P172" s="226"/>
    </row>
    <row r="173" spans="2:16" ht="26.25" customHeight="1" x14ac:dyDescent="0.2">
      <c r="B173" s="594" t="str">
        <f>Překlady!$A$103</f>
        <v>Instrukcje montażu są dostępne na naszym portalu www.demos24plus.com</v>
      </c>
      <c r="C173" s="595"/>
      <c r="D173" s="595"/>
      <c r="E173" s="595"/>
      <c r="F173" s="595"/>
      <c r="G173" s="595"/>
      <c r="H173" s="595"/>
      <c r="I173" s="595"/>
      <c r="J173" s="595"/>
      <c r="K173" s="595"/>
      <c r="L173" s="596" t="s">
        <v>1532</v>
      </c>
      <c r="M173" s="596"/>
      <c r="N173" s="597"/>
    </row>
  </sheetData>
  <sheetProtection algorithmName="SHA-512" hashValue="Yb8Zmk7kBcfwM/53c5qN5NLCEwpuTZpjfl94tdTzP9vzpIGWjlcaJ7rM6rLK49g/iUyGNhUlOMgIqHRf0ZK4yQ==" saltValue="vylKdI3yBDzD5AAQYiXYwQ==" spinCount="100000" sheet="1" objects="1" scenarios="1" selectLockedCells="1" selectUnlockedCells="1"/>
  <mergeCells count="31"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  <mergeCell ref="B173:K173"/>
    <mergeCell ref="L173:N173"/>
    <mergeCell ref="L172:N172"/>
    <mergeCell ref="G124:I124"/>
    <mergeCell ref="K124:M124"/>
    <mergeCell ref="B151:N151"/>
    <mergeCell ref="C124:F124"/>
    <mergeCell ref="D40:F40"/>
    <mergeCell ref="I40:K40"/>
    <mergeCell ref="G9:I9"/>
    <mergeCell ref="B2:N2"/>
    <mergeCell ref="C4:E4"/>
    <mergeCell ref="K4:M4"/>
    <mergeCell ref="G4:I4"/>
    <mergeCell ref="G12:I12"/>
    <mergeCell ref="K12:N12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Z1" zoomScale="85" zoomScaleNormal="85" workbookViewId="0">
      <selection activeCell="AE2" sqref="AE2"/>
    </sheetView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14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105.1413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3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wpuszczany do przykręcenia plastikowy</v>
      </c>
      <c r="AG2" s="193" t="str">
        <f>$R$4</f>
        <v>Classic - wpuszczany do zafrezowania</v>
      </c>
      <c r="AH2" s="193" t="str">
        <f>$R$5</f>
        <v>Frame - nakładany z listwą maskującą</v>
      </c>
      <c r="AI2" s="193" t="str">
        <f>$R$6</f>
        <v>TOP - wpuszczany do przykręcenia metalowy z listwą maskującą</v>
      </c>
      <c r="AJ2" s="193" t="str">
        <f>$R$7</f>
        <v>Nakładany z prowadzeniem metalic-line 29 mm i mechanimem C3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 - wpuszczany do przykręcenia plastikowy</v>
      </c>
      <c r="S3" s="252" t="s">
        <v>2133</v>
      </c>
      <c r="T3" s="253">
        <v>1</v>
      </c>
      <c r="U3" s="318" t="s">
        <v>1930</v>
      </c>
      <c r="V3" s="252">
        <v>1</v>
      </c>
      <c r="W3" s="252" t="str">
        <f>Překlady!A60</f>
        <v>Czarny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Adapter przedłużający do mech.C3</v>
      </c>
      <c r="AC3" s="91">
        <f>$AB$1*AD3</f>
        <v>105.1413</v>
      </c>
      <c r="AD3" s="91">
        <f>VLOOKUP(AA3,$Z$246:$AJ$508,(5+$AE$1),0)</f>
        <v>105.1413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wpuszczany do zafrezowania</v>
      </c>
      <c r="S4" s="205" t="s">
        <v>2134</v>
      </c>
      <c r="T4" s="205" t="str">
        <f>VLOOKUP(VEDENI,Q3:S7,3,FALSE)</f>
        <v>A</v>
      </c>
      <c r="U4" s="205"/>
      <c r="V4" s="205">
        <v>2</v>
      </c>
      <c r="W4" s="205" t="str">
        <f>Překlady!A61</f>
        <v>Biały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4" t="s">
        <v>358</v>
      </c>
      <c r="AP4" s="613"/>
      <c r="AQ4" s="44" t="s">
        <v>357</v>
      </c>
      <c r="AR4" s="43" t="s">
        <v>360</v>
      </c>
      <c r="AS4" s="44" t="s">
        <v>359</v>
      </c>
      <c r="AT4" s="414" t="s">
        <v>361</v>
      </c>
      <c r="AU4" s="422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>Frame - nakładany z listwą maskującą</v>
      </c>
      <c r="S5" s="205" t="s">
        <v>2135</v>
      </c>
      <c r="T5" s="205"/>
      <c r="U5" s="205"/>
      <c r="V5" s="205">
        <v>3</v>
      </c>
      <c r="W5" s="205" t="str">
        <f>Překlady!A62</f>
        <v>Szary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Uchwyt mechan. C3-metal.</v>
      </c>
      <c r="AC5" s="91">
        <f>$AB$1*AD5</f>
        <v>14.691560000000001</v>
      </c>
      <c r="AD5" s="91">
        <f>VLOOKUP(AA5,$Z$246:$AJ$508,(5+$AE$1),0)</f>
        <v>14.691560000000001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Roletowy profil E23 czarny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19.28388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Roletowy profil E23 czarny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19.28388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wpuszczany do przykręcenia metalowy z listwą maskującą</v>
      </c>
      <c r="S6" s="205" t="s">
        <v>1926</v>
      </c>
      <c r="T6" s="205"/>
      <c r="U6" s="205"/>
      <c r="V6" s="205">
        <v>4</v>
      </c>
      <c r="W6" s="205" t="str">
        <f>Překlady!A63</f>
        <v>Aluminowa plastik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Ślizgacz do listwy koń. ALU 27mm czar.</v>
      </c>
      <c r="AC6" s="91">
        <f>$AB$1*AD6</f>
        <v>6.5917000000000003</v>
      </c>
      <c r="AD6" s="91">
        <f>VLOOKUP(AA6,$Z$246:$AJ$508,(5+$AE$1),0)</f>
        <v>6.5917000000000003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Roletowy profil Matal-line 20mm nierdz 3</v>
      </c>
      <c r="BA6" s="27">
        <f>IF(BARVA=9,výpočty!AC120,
IF(BARVA=10,výpočty!AC115,
IF(BARVA=12,AC205,
IF(BARVA=13,AC201,
IF(BARVA=15,výpočty!AC91,
IF(BARVA=16,výpočty!AC92,výpočty!AC92))))))</f>
        <v>20.679410000000001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Nakładany z prowadzeniem metalic-line 29 mm i mechanimem C3</v>
      </c>
      <c r="S7" s="205" t="s">
        <v>2132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Ślizgacz do listwy koń. ALU Kombi szara</v>
      </c>
      <c r="AC7" s="91">
        <f>$AB$1*AD7</f>
        <v>9.7358899999999995</v>
      </c>
      <c r="AD7" s="91">
        <f>VLOOKUP(AA7,$Z$246:$AJ$508,(5+$AE$1),0)</f>
        <v>9.7358899999999995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Czereśnia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 tyłu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Klon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ślimaka roletowego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Brzoza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Ślizgacz do R95817 jas.szary</v>
      </c>
      <c r="AC10" s="91">
        <f t="shared" si="2"/>
        <v>13.00919</v>
      </c>
      <c r="AD10" s="91">
        <f t="shared" si="3"/>
        <v>13.00919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4" t="s">
        <v>358</v>
      </c>
      <c r="AP10" s="613"/>
      <c r="AQ10" s="44" t="s">
        <v>357</v>
      </c>
      <c r="AR10" s="43" t="s">
        <v>360</v>
      </c>
      <c r="AS10" s="44" t="s">
        <v>359</v>
      </c>
      <c r="AT10" s="414" t="s">
        <v>361</v>
      </c>
      <c r="AU10" s="422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Z mecjanizmem C3</v>
      </c>
      <c r="S11" s="205" t="s">
        <v>2138</v>
      </c>
      <c r="T11" s="205"/>
      <c r="U11" s="205"/>
      <c r="V11" s="205">
        <v>9</v>
      </c>
      <c r="W11" s="205" t="str">
        <f>Překlady!A68</f>
        <v>Czereśnia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Ślizgacz do R95817 czarny</v>
      </c>
      <c r="AC11" s="91">
        <f t="shared" si="2"/>
        <v>13.00919</v>
      </c>
      <c r="AD11" s="91">
        <f t="shared" si="3"/>
        <v>13.00919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Listwa końcowa czarna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69.139859999999999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Listwa końcowa czarna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69.139859999999999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Ślizgacz Metallic-line 20mm nierdz czarn</v>
      </c>
      <c r="AC12" s="91">
        <f t="shared" si="2"/>
        <v>0.60260999999999998</v>
      </c>
      <c r="AD12" s="91">
        <f t="shared" si="3"/>
        <v>0.60260999999999998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Listwa końcowa ALU Kombi nierdz 360L</v>
      </c>
      <c r="BA12" s="27">
        <f>IF(BARVA=9,výpočty!AC36,
IF(BARVA=10,výpočty!AC29,
IF(BARVA=12,AC207,
IF(BARVA=15,výpočty!AC23,výpočty!AC25))))</f>
        <v>224.55905000000001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Listwa końcowa z uskokiem ALU dolna częś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178.88355999999999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Osłona lis.koń.z uskokiem czarna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26.355560000000001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Pionowy (z góry na dół)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śnieżno biala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Ślizgacz do śr.list.uchw. Czarny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Osłona lis.koń.z uskokiem czarna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26.355560000000001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nie można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Poziomy (z lewej strony na prawą)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Aluminowa plastik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Ślizgacz 8mm z ham.jas.brąz (buk)</v>
      </c>
      <c r="AC15" s="91">
        <f t="shared" si="2"/>
        <v>18.350619999999999</v>
      </c>
      <c r="AD15" s="91">
        <f t="shared" si="3"/>
        <v>18.350619999999999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Ślizgacz do R95817 czarny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13.00919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Ślizgacz do R95817 czarny</v>
      </c>
      <c r="BA15" s="115">
        <f>IF(BARVA&lt;3,výpočty!AC11,
IF(BARVA&lt;9,výpočty!AC10,
IF(BARVA=15,výpočty!AC10,výpočty!AC10)))</f>
        <v>13.00919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Ślizgacz 8 mm z hamulcem biały</v>
      </c>
      <c r="AC16" s="91">
        <f t="shared" si="2"/>
        <v>18.350619999999999</v>
      </c>
      <c r="AD16" s="91">
        <f t="shared" si="3"/>
        <v>18.350619999999999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Ślizgacz 8mm z hamulcem czarny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18.350619999999999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Ślizgacz 8 mm czarny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8.5023300000000006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Ślizgacz 8mm z hamulcem czarny</v>
      </c>
      <c r="AC17" s="91">
        <f t="shared" si="2"/>
        <v>18.350619999999999</v>
      </c>
      <c r="AD17" s="91">
        <f t="shared" si="3"/>
        <v>18.350619999999999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Ślizgacz do listwy koń. ALU Kombi szara</v>
      </c>
      <c r="BA17" s="27">
        <f>IF(BARVA=9,výpočty!AC21,
IF(BARVA=10,výpočty!AC21,
IF(BARVA=11," ",IF(BARVA=15,výpočty!AC7,výpočty!AC7))))</f>
        <v>9.7358899999999995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Ślizgacz 8mm z hamulcem szary</v>
      </c>
      <c r="AC18" s="91">
        <f t="shared" si="2"/>
        <v>18.350619999999999</v>
      </c>
      <c r="AD18" s="91">
        <f t="shared" si="3"/>
        <v>18.350619999999999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Ślizgacz 8mm z hamulcem czarny</v>
      </c>
      <c r="BA18">
        <f>IF(NAVIJENI=3,BA16,BD18)</f>
        <v>18.350619999999999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Ślizgacz 8mm z hamulcem czarny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18.350619999999999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Aluminium szerokość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Ślizgacz 8 mm biały</v>
      </c>
      <c r="AC19" s="91">
        <f t="shared" si="2"/>
        <v>8.5023300000000006</v>
      </c>
      <c r="AD19" s="91">
        <f t="shared" si="3"/>
        <v>8.5023300000000006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Ślizgacz do listwy koń. ALU Kombi szara</v>
      </c>
      <c r="BA19">
        <f>IF(NAVIJENI=3,BA17,IF(BARVA=9,výpočty!AC15,IF(BARVA=10,výpočty!AC15,IF(BARVA=11," ",IF(BARVA=15,výpočty!AC7,výpočty!AC7)))))</f>
        <v>9.7358899999999995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Nierdz. szerokość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Ślizgacz 8 mm czarny</v>
      </c>
      <c r="AC20" s="91">
        <f t="shared" si="2"/>
        <v>8.5023300000000006</v>
      </c>
      <c r="AD20" s="91">
        <f t="shared" si="3"/>
        <v>8.5023300000000006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Ślizgacz 8 mm jas.brąz.(buk)</v>
      </c>
      <c r="AC21" s="91">
        <f t="shared" si="2"/>
        <v>8.5023300000000006</v>
      </c>
      <c r="AD21" s="91">
        <f t="shared" si="3"/>
        <v>8.5023300000000006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4" t="s">
        <v>358</v>
      </c>
      <c r="AP21" s="613"/>
      <c r="AQ21" s="44" t="s">
        <v>357</v>
      </c>
      <c r="AR21" s="43" t="s">
        <v>360</v>
      </c>
      <c r="AS21" s="44" t="s">
        <v>359</v>
      </c>
      <c r="AT21" s="414" t="s">
        <v>361</v>
      </c>
      <c r="AU21" s="422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Czarny (E23)</v>
      </c>
      <c r="T22" s="205"/>
      <c r="U22" s="205"/>
      <c r="V22" s="205"/>
      <c r="W22" s="205" t="str">
        <f>Překlady!A87</f>
        <v>Tak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Ślizgacz 8 mm szary</v>
      </c>
      <c r="AC22" s="91">
        <f t="shared" si="2"/>
        <v>8.5023300000000006</v>
      </c>
      <c r="AD22" s="91">
        <f t="shared" si="3"/>
        <v>8.5023300000000006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Listwa maskująca uni czarna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45.669879999999999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Listwa maskująca uni czarna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45.669879999999999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Nie</v>
      </c>
      <c r="X23" s="261"/>
      <c r="Y23" s="354"/>
      <c r="Z23">
        <v>665</v>
      </c>
      <c r="AA23" s="90" t="s">
        <v>460</v>
      </c>
      <c r="AB23" s="179" t="str">
        <f t="shared" si="1"/>
        <v>Listwa końcowa ALU kombi ALU 230L</v>
      </c>
      <c r="AC23" s="91">
        <f t="shared" si="2"/>
        <v>165.55967000000001</v>
      </c>
      <c r="AD23" s="91">
        <f t="shared" si="3"/>
        <v>165.55967000000001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Listwa maskująca (profil L) nierdz 360</v>
      </c>
      <c r="BA23" s="27">
        <f>IF(BARVA=9,výpočty!AC51,IF(BARVA=10,výpočty!AC45,IF(BARVA=11," ",IF(BARVA=15,výpočty!AC40,výpočty!AC232))))</f>
        <v>156.99848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Listwa końcowa ALU 27mm ALU 230L</v>
      </c>
      <c r="AC24" s="91">
        <f t="shared" si="2"/>
        <v>151.92384000000001</v>
      </c>
      <c r="AD24" s="91">
        <f t="shared" si="3"/>
        <v>151.92384000000001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Listwa maskująca z uskokiem ALU-dolna cz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98.007369999999995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Osłona listwy mask. z uskokiem-uni czarn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27.027149999999999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Listwa końcowa ALU Kombi nierdz 360L</v>
      </c>
      <c r="AC25" s="91">
        <f t="shared" si="2"/>
        <v>224.55905000000001</v>
      </c>
      <c r="AD25" s="91">
        <f t="shared" si="3"/>
        <v>224.55905000000001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Osłona listwy mask. z uskokiem-uni czarn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27.027149999999999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Listwa końcowa biała</v>
      </c>
      <c r="AC26" s="91">
        <f t="shared" si="2"/>
        <v>69.139859999999999</v>
      </c>
      <c r="AD26" s="91">
        <f t="shared" si="3"/>
        <v>69.139859999999999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Listwa końcowa brzoza</v>
      </c>
      <c r="AC27" s="91">
        <f t="shared" si="2"/>
        <v>80.561509999999998</v>
      </c>
      <c r="AD27" s="91">
        <f t="shared" si="3"/>
        <v>80.561509999999998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Listwa końcowa buk</v>
      </c>
      <c r="AC28" s="91">
        <f t="shared" si="2"/>
        <v>80.561509999999998</v>
      </c>
      <c r="AD28" s="91">
        <f t="shared" si="3"/>
        <v>80.561509999999998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Listwa końcowa calvados</v>
      </c>
      <c r="AC29" s="91">
        <f t="shared" si="2"/>
        <v>63.75076</v>
      </c>
      <c r="AD29" s="91">
        <f t="shared" si="3"/>
        <v>63.75076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4" t="s">
        <v>358</v>
      </c>
      <c r="AP29" s="613"/>
      <c r="AQ29" s="44" t="s">
        <v>357</v>
      </c>
      <c r="AR29" s="43" t="s">
        <v>360</v>
      </c>
      <c r="AS29" s="44" t="s">
        <v>359</v>
      </c>
      <c r="AT29" s="414" t="s">
        <v>361</v>
      </c>
      <c r="AU29" s="422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Listwa końcowa czarna</v>
      </c>
      <c r="AC30" s="91">
        <f t="shared" si="2"/>
        <v>69.139859999999999</v>
      </c>
      <c r="AD30" s="91">
        <f t="shared" si="3"/>
        <v>69.139859999999999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Listwa tor. na wkręt czarna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20.510159999999999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Listwa tor. na wkręt czarna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20.510159999999999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Narożnik lis.tor.na wkr. czarny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5.8428699999999996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Listwa końcowa alum.(plast)</v>
      </c>
      <c r="AC31" s="91">
        <f t="shared" si="2"/>
        <v>80.561509999999998</v>
      </c>
      <c r="AD31" s="91">
        <f t="shared" si="3"/>
        <v>80.561509999999998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Narożnik lis.tor.na wkr. czarny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5.8428699999999996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Listwa tor. na wkręt ciem. szara(al.)</v>
      </c>
      <c r="BA31" s="117">
        <f>IF(BARVA=9,výpočty!AC167,
IF(BARVA=10,výpočty!AC165,
IF(BARVA=12,AC159,
IF(BARVA=15,výpočty!AC170,výpočty!AC157))))</f>
        <v>20.510159999999999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Narożnik lis.tor.na wkr. jas.szary (al.)</v>
      </c>
      <c r="BE31" s="119">
        <f>IF(BARVA=9,výpočty!AC128,IF(BARVA=10,výpočty!AC131,IF(BARVA=11," ",IF(BARVA=15,výpočty!AC133,výpočty!AC122))))</f>
        <v>5.8428699999999996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Listwa końcowa jawor</v>
      </c>
      <c r="AC32" s="91">
        <f t="shared" si="2"/>
        <v>80.561509999999998</v>
      </c>
      <c r="AD32" s="91">
        <f t="shared" si="3"/>
        <v>80.561509999999998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Listwa tor. na wkręt czarna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20.510159999999999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21.09207</v>
      </c>
      <c r="C33" s="71">
        <f t="shared" si="5"/>
        <v>52.730175000000003</v>
      </c>
      <c r="D33" s="71">
        <f t="shared" si="5"/>
        <v>80.561509999999998</v>
      </c>
      <c r="E33" s="71">
        <f t="shared" si="5"/>
        <v>8.5023300000000006</v>
      </c>
      <c r="F33" s="71">
        <f t="shared" si="5"/>
        <v>0.60260999999999998</v>
      </c>
      <c r="G33" s="71">
        <f>G57*$F$31</f>
        <v>61.848480000000002</v>
      </c>
      <c r="H33" s="72"/>
      <c r="I33" s="72" t="s">
        <v>33</v>
      </c>
      <c r="J33" s="70">
        <f t="shared" ref="J33:J38" si="6">J57*$F$31</f>
        <v>20.510159999999999</v>
      </c>
      <c r="K33" s="72"/>
      <c r="L33" s="71">
        <f t="shared" ref="L33:L39" si="7">L57*$F$31</f>
        <v>51.275399999999998</v>
      </c>
      <c r="M33" s="72"/>
      <c r="N33" s="71">
        <f>N57*$F$31</f>
        <v>5.8428699999999996</v>
      </c>
      <c r="O33" s="69"/>
      <c r="R33" s="135" t="s">
        <v>396</v>
      </c>
      <c r="S33" s="23"/>
      <c r="Z33">
        <v>655</v>
      </c>
      <c r="AA33" s="90" t="s">
        <v>460</v>
      </c>
      <c r="AB33" s="179" t="str">
        <f t="shared" si="1"/>
        <v>Listwa końcowa ALU kombi ALU 230L</v>
      </c>
      <c r="AC33" s="91">
        <f t="shared" si="2"/>
        <v>165.55967000000001</v>
      </c>
      <c r="AD33" s="91">
        <f t="shared" si="3"/>
        <v>165.55967000000001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Ślimak rolety 8mm, dł.zwoju 670mm czar.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30.603929999999998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19.28388</v>
      </c>
      <c r="C34" s="71">
        <f t="shared" si="5"/>
        <v>48.209699999999998</v>
      </c>
      <c r="D34" s="71">
        <f t="shared" si="5"/>
        <v>69.139859999999999</v>
      </c>
      <c r="E34" s="71">
        <f t="shared" si="5"/>
        <v>18.350619999999999</v>
      </c>
      <c r="F34" s="70"/>
      <c r="G34" s="71">
        <f>G58*$F$31</f>
        <v>45.669879999999999</v>
      </c>
      <c r="H34" s="72"/>
      <c r="I34" s="72" t="s">
        <v>13</v>
      </c>
      <c r="J34" s="70">
        <f t="shared" si="6"/>
        <v>9.7397399999999994</v>
      </c>
      <c r="K34" s="72"/>
      <c r="L34" s="71">
        <f t="shared" si="7"/>
        <v>24.349349999999998</v>
      </c>
      <c r="M34" s="72"/>
      <c r="N34" s="71">
        <f>N58*$F$31</f>
        <v>5.2317799999999997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Listwa końcowa z uskokiem ALU dolna częś</v>
      </c>
      <c r="AC34" s="91">
        <f t="shared" si="2"/>
        <v>178.88355999999999</v>
      </c>
      <c r="AD34" s="91">
        <f t="shared" si="3"/>
        <v>178.88355999999999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Ślimak rolety 8mm, dł.zwoju 670mm czar.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30.603929999999998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19.759789999999999</v>
      </c>
      <c r="C35" s="71">
        <f t="shared" si="5"/>
        <v>49.399474999999995</v>
      </c>
      <c r="D35" s="71">
        <f t="shared" si="5"/>
        <v>165.55967000000001</v>
      </c>
      <c r="E35" s="71">
        <f t="shared" si="5"/>
        <v>9.7358899999999995</v>
      </c>
      <c r="F35" s="70"/>
      <c r="G35" s="71">
        <f>G59*$F$31</f>
        <v>114.81813</v>
      </c>
      <c r="H35" s="72"/>
      <c r="I35" s="72" t="s">
        <v>38</v>
      </c>
      <c r="J35" s="70">
        <f t="shared" si="6"/>
        <v>0</v>
      </c>
      <c r="K35" s="70">
        <f>K59*$F$31</f>
        <v>24.326920000000001</v>
      </c>
      <c r="L35" s="71">
        <f t="shared" si="7"/>
        <v>60.817300000000003</v>
      </c>
      <c r="M35" s="72"/>
      <c r="N35" s="71">
        <f>N59*$F$31</f>
        <v>6.6591399999999998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Listwa końcowa szara</v>
      </c>
      <c r="AC35" s="91">
        <f t="shared" si="2"/>
        <v>69.139859999999999</v>
      </c>
      <c r="AD35" s="91">
        <f t="shared" si="3"/>
        <v>69.139859999999999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Ślimak rolety 8mm, dł.zwoju 670mm czar.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30.603929999999998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20.679410000000001</v>
      </c>
      <c r="C36" s="71">
        <f>C60*$F$31</f>
        <v>51.698525000000004</v>
      </c>
      <c r="D36" s="71">
        <f>D60*$F$31</f>
        <v>224.55905000000001</v>
      </c>
      <c r="E36" s="71">
        <f>E60*$F$31</f>
        <v>9.7358899999999995</v>
      </c>
      <c r="F36" s="70"/>
      <c r="G36" s="71">
        <f>G60*$F$31</f>
        <v>255.91313</v>
      </c>
      <c r="H36" s="72"/>
      <c r="I36" s="72" t="s">
        <v>39</v>
      </c>
      <c r="J36" s="70">
        <f t="shared" si="6"/>
        <v>0</v>
      </c>
      <c r="K36" s="70">
        <f>K60*$F$31</f>
        <v>18.595009999999998</v>
      </c>
      <c r="L36" s="71">
        <f t="shared" si="7"/>
        <v>46.487524999999998</v>
      </c>
      <c r="M36" s="70"/>
      <c r="N36" s="71">
        <f>N60*$F$31</f>
        <v>6.6591399999999998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Listwa końcowa czereśnia Havana</v>
      </c>
      <c r="AC36" s="91">
        <f t="shared" si="2"/>
        <v>63.75076</v>
      </c>
      <c r="AD36" s="91">
        <f t="shared" si="3"/>
        <v>63.75076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nie można zastosować mech.rolet. C3</v>
      </c>
      <c r="AQ36" t="str">
        <f>AO36</f>
        <v>nie można zastosować mech.rolet. C3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52.337490000000003</v>
      </c>
      <c r="L37" s="71">
        <f t="shared" si="7"/>
        <v>130.84372500000001</v>
      </c>
      <c r="M37" s="70"/>
      <c r="N37" s="71">
        <f>N61*$F$31</f>
        <v>6.6591399999999998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Listwa końcowa czereśnia</v>
      </c>
      <c r="AC37" s="91">
        <f t="shared" si="2"/>
        <v>80.561509999999998</v>
      </c>
      <c r="AD37" s="91">
        <f t="shared" si="3"/>
        <v>80.561509999999998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91.980369999999994</v>
      </c>
      <c r="L38" s="71">
        <f t="shared" si="7"/>
        <v>229.95092499999998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65.652900000000002</v>
      </c>
      <c r="K39" s="74" t="s">
        <v>124</v>
      </c>
      <c r="L39" s="71">
        <f t="shared" si="7"/>
        <v>65.652900000000002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Osłona listwy mask. z uskokiem ALU  230L</v>
      </c>
      <c r="AC39" s="91">
        <f t="shared" ref="AC39:AC61" si="10">$AB$1*AD39</f>
        <v>185.37687</v>
      </c>
      <c r="AD39" s="91">
        <f t="shared" ref="AD39:AD61" si="11">VLOOKUP(AA39,$Z$246:$AJ$508,(5+$AE$1),0)</f>
        <v>185.37687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165.55967000000001</v>
      </c>
      <c r="E40" s="73">
        <f>E64*$F$31</f>
        <v>9.7358899999999995</v>
      </c>
      <c r="F40" s="68" t="s">
        <v>85</v>
      </c>
      <c r="G40" s="71">
        <f>G64*$F$31</f>
        <v>185.37687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6.6591399999999998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Listwa maskująca ALU (profil L) ALU 230L</v>
      </c>
      <c r="AC40" s="91">
        <f t="shared" si="10"/>
        <v>114.81813</v>
      </c>
      <c r="AD40" s="91">
        <f t="shared" si="11"/>
        <v>114.81813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4" t="s">
        <v>358</v>
      </c>
      <c r="AP40" s="613"/>
      <c r="AQ40" s="44" t="s">
        <v>357</v>
      </c>
      <c r="AR40" s="43" t="s">
        <v>360</v>
      </c>
      <c r="AS40" s="44" t="s">
        <v>359</v>
      </c>
      <c r="AT40" s="414" t="s">
        <v>361</v>
      </c>
      <c r="AU40" s="422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224.55905000000001</v>
      </c>
      <c r="E41" s="72"/>
      <c r="F41" s="68" t="s">
        <v>86</v>
      </c>
      <c r="G41" s="71">
        <f>G65*$F$31</f>
        <v>255.91313</v>
      </c>
      <c r="H41" s="72"/>
      <c r="I41" s="72" t="s">
        <v>41</v>
      </c>
      <c r="J41" s="70">
        <f t="shared" si="8"/>
        <v>0</v>
      </c>
      <c r="K41" s="70">
        <f t="shared" si="12"/>
        <v>23.981380000000001</v>
      </c>
      <c r="L41" s="71">
        <f t="shared" si="12"/>
        <v>59.953450000000004</v>
      </c>
      <c r="M41" s="70"/>
      <c r="N41" s="71">
        <f>N65*$F$31</f>
        <v>6.6591399999999998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Osłona listwy mask. z uskokiem ALU nierd</v>
      </c>
      <c r="AC41" s="91">
        <f t="shared" si="10"/>
        <v>255.91313</v>
      </c>
      <c r="AD41" s="91">
        <f t="shared" si="11"/>
        <v>255.91313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Listwa tor. 8mm do zafrez. czarna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65.023520000000005</v>
      </c>
      <c r="L42" s="71">
        <f t="shared" si="12"/>
        <v>162.55880000000002</v>
      </c>
      <c r="M42" s="70"/>
      <c r="N42" s="71">
        <f>N66*$F$31</f>
        <v>6.6591399999999998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Listwa maskująca uni biała</v>
      </c>
      <c r="AC42" s="91">
        <f t="shared" si="10"/>
        <v>45.669879999999999</v>
      </c>
      <c r="AD42" s="91">
        <f t="shared" si="11"/>
        <v>45.669879999999999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Róg list.tor.90 °- 8mm czarny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5.2317799999999997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170.90098</v>
      </c>
      <c r="D43" s="70">
        <f>D67*$F$31</f>
        <v>188.14168000000001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115.13282</v>
      </c>
      <c r="L43" s="71">
        <f t="shared" si="12"/>
        <v>287.83204999999998</v>
      </c>
      <c r="M43" s="70"/>
      <c r="N43" s="71">
        <f>N67*$F$31</f>
        <v>6.6591399999999998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Listwa maskująca dekor brzoza</v>
      </c>
      <c r="AC43" s="91">
        <f t="shared" si="10"/>
        <v>61.848480000000002</v>
      </c>
      <c r="AD43" s="91">
        <f t="shared" si="11"/>
        <v>61.848480000000002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Listwa tor. 8mm do zafrez. czarna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6.2376800000000001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108.78563</v>
      </c>
      <c r="K44" s="74" t="s">
        <v>124</v>
      </c>
      <c r="L44" s="71">
        <f t="shared" si="12"/>
        <v>108.78563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Listwa maskująca dekor buk</v>
      </c>
      <c r="AC44" s="91">
        <f t="shared" si="10"/>
        <v>61.848480000000002</v>
      </c>
      <c r="AD44" s="91">
        <f t="shared" si="11"/>
        <v>61.848480000000002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Ślimak rolety 8mm, dł.zwoju 670mm czar.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30.603929999999998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27.88409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Listwa maskująca calvados</v>
      </c>
      <c r="AC45" s="91">
        <f t="shared" si="10"/>
        <v>48.943300000000001</v>
      </c>
      <c r="AD45" s="91">
        <f t="shared" si="11"/>
        <v>48.943300000000001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Ślimak rolety 8mm, dł.zwoju 670mm czar.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30.603929999999998</v>
      </c>
      <c r="AV45" s="120">
        <f>AT45*AR44</f>
        <v>0</v>
      </c>
    </row>
    <row r="46" spans="1:56" x14ac:dyDescent="0.2">
      <c r="A46" s="67"/>
      <c r="B46" s="72"/>
      <c r="C46" s="614" t="s">
        <v>35</v>
      </c>
      <c r="D46" s="614"/>
      <c r="E46" s="614"/>
      <c r="F46" s="72"/>
      <c r="G46" s="614" t="s">
        <v>34</v>
      </c>
      <c r="H46" s="614"/>
      <c r="I46" s="614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Listwa maskująca uni czarna</v>
      </c>
      <c r="AC46" s="91">
        <f t="shared" si="10"/>
        <v>45.669879999999999</v>
      </c>
      <c r="AD46" s="91">
        <f t="shared" si="11"/>
        <v>45.669879999999999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Ślimak rolety 8mm, dł.zwoju 670mm czar.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30.603929999999998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Listwa maskująca dekor alum. (plast.)</v>
      </c>
      <c r="AC47" s="91">
        <f t="shared" si="10"/>
        <v>61.848480000000002</v>
      </c>
      <c r="AD47" s="91">
        <f t="shared" si="11"/>
        <v>61.848480000000002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178.88355999999999</v>
      </c>
      <c r="D48" s="70">
        <f t="shared" si="13"/>
        <v>26.355560000000001</v>
      </c>
      <c r="E48" s="75">
        <f t="shared" si="13"/>
        <v>205.23911999999999</v>
      </c>
      <c r="F48" s="75" t="e">
        <f t="shared" si="13"/>
        <v>#N/A</v>
      </c>
      <c r="G48" s="70">
        <f t="shared" ref="G48:I49" si="14">G72*$F$31</f>
        <v>98.007369999999995</v>
      </c>
      <c r="H48" s="70">
        <f t="shared" si="14"/>
        <v>27.027149999999999</v>
      </c>
      <c r="I48" s="75">
        <f t="shared" si="14"/>
        <v>125.03451999999999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Listwa maskująca dekor jawor</v>
      </c>
      <c r="AC48" s="91">
        <f t="shared" si="10"/>
        <v>61.848480000000002</v>
      </c>
      <c r="AD48" s="91">
        <f t="shared" si="11"/>
        <v>61.848480000000002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178.88355999999999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98.007369999999995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Listwa maskująca z uskokiem ALU-dolna cz</v>
      </c>
      <c r="AC49" s="91">
        <f t="shared" si="10"/>
        <v>98.007369999999995</v>
      </c>
      <c r="AD49" s="91">
        <f t="shared" si="11"/>
        <v>98.007369999999995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Listwa maskująca uni szara</v>
      </c>
      <c r="AC50" s="91">
        <f t="shared" si="10"/>
        <v>45.669879999999999</v>
      </c>
      <c r="AD50" s="91">
        <f t="shared" si="11"/>
        <v>45.669879999999999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4" t="s">
        <v>358</v>
      </c>
      <c r="AP50" s="613"/>
      <c r="AQ50" s="44" t="s">
        <v>357</v>
      </c>
      <c r="AR50" s="43" t="s">
        <v>360</v>
      </c>
      <c r="AS50" s="44" t="s">
        <v>359</v>
      </c>
      <c r="AT50" s="414" t="s">
        <v>361</v>
      </c>
      <c r="AU50" s="422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Listwa maskująca dekor czereśnia Havana</v>
      </c>
      <c r="AC51" s="91">
        <f t="shared" si="10"/>
        <v>48.943300000000001</v>
      </c>
      <c r="AD51" s="91">
        <f t="shared" si="11"/>
        <v>48.943300000000001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Listwa tor. na wkręt czarna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20.510159999999999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Listwa tor. na wkręt czarna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20.510159999999999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Listwa maskująca dekor czereśnia</v>
      </c>
      <c r="AC52" s="91">
        <f t="shared" si="10"/>
        <v>61.848480000000002</v>
      </c>
      <c r="AD52" s="91">
        <f t="shared" si="11"/>
        <v>61.848480000000002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 xml:space="preserve"> </v>
      </c>
      <c r="AP52" s="121"/>
      <c r="AQ52" s="121" t="str">
        <f>IF(VEDENI=3,AA162,
IF(VEDENI=4,AA171,
IF(VEDENI=5,
IF(BARVA=16,AA156,AA155)," ")))</f>
        <v xml:space="preserve"> </v>
      </c>
      <c r="AR52" s="121">
        <f>IF(SMER=1,IF($T$3&gt;4,OBJ_KUSY*G16,OBJ_KUSY*G15),OBJ_KUSY*G27)</f>
        <v>0</v>
      </c>
      <c r="AS52" s="121" t="s">
        <v>124</v>
      </c>
      <c r="AT52" s="121" t="str">
        <f>IF(VEDENI=3,AC162,
IF(VEDENI=4,AC171,
IF(VEDENI=5,
IF(BARVA=16,AC156,AC155)," ")))</f>
        <v xml:space="preserve"> </v>
      </c>
      <c r="AU52" s="121"/>
      <c r="AV52" s="121" t="str">
        <f>IF(VEDENI=3,AT52*AR52,IF(VEDENI=4,AT52*AR52,IF(VEDENI=5,AT52*AR52," ")))</f>
        <v xml:space="preserve"> 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Listwa tor. na wkręt ciem. szara(al.)</v>
      </c>
      <c r="BA52" s="139">
        <f>IF(BARVA=9,výpočty!AC167,
IF(BARVA=10,výpočty!AC165,
IF(BARVA=12,AC158,
IF(BARVA=15,výpočty!AC170,výpočty!AC157))))</f>
        <v>20.510159999999999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Profil kryjący Frame szary</v>
      </c>
      <c r="AC53" s="91">
        <f t="shared" si="10"/>
        <v>23.981380000000001</v>
      </c>
      <c r="AD53" s="91">
        <f t="shared" si="11"/>
        <v>23.981380000000001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 xml:space="preserve"> </v>
      </c>
      <c r="AQ53" t="str">
        <f>IF(VEDENI=3,IF(výpočty!$S$22=0,AY54,AY53),IF(VEDENI=4,IF(výpočty!$S$22=0,AY56,AY55)," "))</f>
        <v xml:space="preserve"> </v>
      </c>
      <c r="AR53" t="str">
        <f>IF(VEDENI&lt;3," ",IF(VEDENI=5," ",IF(SMER=1,OBJ_KUSY*G14*2.5,OBJ_KUSY*G26*2.5)))</f>
        <v xml:space="preserve"> </v>
      </c>
      <c r="AS53" t="s">
        <v>124</v>
      </c>
      <c r="AT53" t="str">
        <f>IF(VEDENI=3,IF(výpočty!$S$22=0,BA54,BA53),IF(VEDENI=4,IF(výpočty!$S$22=0,BA56,BA55)," "))</f>
        <v xml:space="preserve"> </v>
      </c>
      <c r="AV53" t="str">
        <f>IF(VEDENI=3,IF(výpočty!$S$22=0,AT53*AR53,AT53*AR53),IF(VEDENI=4,IF(výpočty!$S$22=0,AT53*AR53,AT53*AR53)," "))</f>
        <v xml:space="preserve"> 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Profil kryjący Frame czar.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23.981380000000001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Zaślepka Frame czarna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27.88409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Profil kryjący Frame biały</v>
      </c>
      <c r="AC54" s="91">
        <f t="shared" si="10"/>
        <v>23.981380000000001</v>
      </c>
      <c r="AD54" s="91">
        <f t="shared" si="11"/>
        <v>23.981380000000001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 xml:space="preserve"> </v>
      </c>
      <c r="AQ54" t="str">
        <f>IF(VEDENI=3,
IF(výpočty!$BC$53=0,BC54,BC53),
IF(VEDENI=3,výpočty!AA198,
IF(VEDENI=5,BC55," ")))</f>
        <v xml:space="preserve"> </v>
      </c>
      <c r="AR54" t="str">
        <f>IF(VEDENI=3,1*OBJ_KUSY,IF(VEDENI=5,2*OBJ_KUSY," "))</f>
        <v xml:space="preserve"> </v>
      </c>
      <c r="AT54" t="str">
        <f>IF(VEDENI=3,IF(výpočty!$BE$53=0,BE54,BE53),IF(VEDENI=3,výpočty!AC198,IF(VEDENI=5,BE55," ")))</f>
        <v xml:space="preserve"> </v>
      </c>
      <c r="AV54" t="str">
        <f>IF(VEDENI=3,AT54*AR54,IF(VEDENI=5,AT54*AR54," "))</f>
        <v xml:space="preserve"> 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Profil kryjący Frame brzoza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Ślimak rolety Top/Frame, dł.zwoju 1240mm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39.811579999999999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Profil kryjący Top czarny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18.595009999999998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Zaślepka do toru pionow. R92846 lewa</v>
      </c>
      <c r="BE55" s="126">
        <f>IF(BARVA&lt;13,výpočty!AC197,výpočty!AC198)</f>
        <v>3.1188400000000001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Róg list.tor. 90 °  Top/Frame</v>
      </c>
      <c r="AQ56" t="str">
        <f>AA211</f>
        <v>R95799</v>
      </c>
      <c r="AR56">
        <f>IF(T9=1,4*OBJ_KUSY,0)</f>
        <v>0</v>
      </c>
      <c r="AT56">
        <f>AC211</f>
        <v>6.6591399999999998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nie można</v>
      </c>
      <c r="AZ56" s="125" t="str">
        <f>IF(BARVA=9,výpočty!AB222,
IF(BARVA=10,výpočty!AB223,
IF(BARVA=12,AB209,
IF(BARVA=16,výpočty!AB224,
IF(BARVA=15,výpočty!AB68,Překlady!$A$84)))))</f>
        <v>nie można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21.09207</v>
      </c>
      <c r="C57" s="81">
        <f>B57*2.5</f>
        <v>52.730175000000003</v>
      </c>
      <c r="D57" s="81">
        <f>AD27</f>
        <v>80.561509999999998</v>
      </c>
      <c r="E57" s="81">
        <f>AD19</f>
        <v>8.5023300000000006</v>
      </c>
      <c r="F57" s="82">
        <f>AD12</f>
        <v>0.60260999999999998</v>
      </c>
      <c r="G57" s="81">
        <f>AD43</f>
        <v>61.848480000000002</v>
      </c>
      <c r="H57" s="68"/>
      <c r="I57" s="68" t="s">
        <v>33</v>
      </c>
      <c r="J57" s="68">
        <f>AD157</f>
        <v>20.510159999999999</v>
      </c>
      <c r="K57" s="68"/>
      <c r="L57" s="81">
        <f t="shared" ref="L57:L67" si="15">2.5*(K57+J57)</f>
        <v>51.275399999999998</v>
      </c>
      <c r="M57" s="68"/>
      <c r="N57" s="81">
        <f>AD127</f>
        <v>5.8428699999999996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Profil kryjący Frame czar.</v>
      </c>
      <c r="AC57" s="91">
        <f t="shared" si="10"/>
        <v>23.981380000000001</v>
      </c>
      <c r="AD57" s="91">
        <f t="shared" si="11"/>
        <v>23.981380000000001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19.28388</v>
      </c>
      <c r="C58" s="83">
        <f>B58*2.5</f>
        <v>48.209699999999998</v>
      </c>
      <c r="D58" s="83">
        <f>AD30</f>
        <v>69.139859999999999</v>
      </c>
      <c r="E58" s="146">
        <f>AD16</f>
        <v>18.350619999999999</v>
      </c>
      <c r="F58" s="147" t="s">
        <v>408</v>
      </c>
      <c r="G58" s="83">
        <f>AD46</f>
        <v>45.669879999999999</v>
      </c>
      <c r="H58" s="68"/>
      <c r="I58" s="68" t="s">
        <v>13</v>
      </c>
      <c r="J58" s="68">
        <f>AD160</f>
        <v>9.7397399999999994</v>
      </c>
      <c r="K58" s="68"/>
      <c r="L58" s="83">
        <f t="shared" si="15"/>
        <v>24.349349999999998</v>
      </c>
      <c r="M58" s="68"/>
      <c r="N58" s="83">
        <f>AD125</f>
        <v>5.2317799999999997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Profil kryjący Frame ALU 230L</v>
      </c>
      <c r="AC58" s="91">
        <f t="shared" si="10"/>
        <v>65.023520000000005</v>
      </c>
      <c r="AD58" s="91">
        <f t="shared" si="11"/>
        <v>65.023520000000005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19.759789999999999</v>
      </c>
      <c r="C59" s="83">
        <f>B59*2.5</f>
        <v>49.399474999999995</v>
      </c>
      <c r="D59" s="83">
        <f>AD23</f>
        <v>165.55967000000001</v>
      </c>
      <c r="E59" s="83">
        <f>AD7</f>
        <v>9.7358899999999995</v>
      </c>
      <c r="F59" s="82"/>
      <c r="G59" s="83">
        <f>AD40</f>
        <v>114.81813</v>
      </c>
      <c r="H59" s="68"/>
      <c r="I59" s="68" t="s">
        <v>38</v>
      </c>
      <c r="J59" s="68">
        <v>0</v>
      </c>
      <c r="K59" s="68">
        <f>AD64</f>
        <v>24.326920000000001</v>
      </c>
      <c r="L59" s="83">
        <f t="shared" si="15"/>
        <v>60.817300000000003</v>
      </c>
      <c r="M59" s="68"/>
      <c r="N59" s="83">
        <f>AD211</f>
        <v>6.6591399999999998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Profil kryjący Frame al.(plast)</v>
      </c>
      <c r="AC59" s="91">
        <f t="shared" si="10"/>
        <v>66.605469999999997</v>
      </c>
      <c r="AD59" s="91">
        <f t="shared" si="11"/>
        <v>66.605469999999997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20.679410000000001</v>
      </c>
      <c r="C60" s="84">
        <f>B60*2.5</f>
        <v>51.698525000000004</v>
      </c>
      <c r="D60" s="84">
        <f>AD25</f>
        <v>224.55905000000001</v>
      </c>
      <c r="E60" s="84">
        <f>AD7</f>
        <v>9.7358899999999995</v>
      </c>
      <c r="F60" s="82"/>
      <c r="G60" s="84">
        <f>AD41</f>
        <v>255.91313</v>
      </c>
      <c r="H60" s="68"/>
      <c r="I60" s="68" t="s">
        <v>39</v>
      </c>
      <c r="J60" s="68">
        <v>0</v>
      </c>
      <c r="K60" s="68">
        <f>AD63</f>
        <v>18.595009999999998</v>
      </c>
      <c r="L60" s="83">
        <f t="shared" si="15"/>
        <v>46.487524999999998</v>
      </c>
      <c r="M60" s="68"/>
      <c r="N60" s="83">
        <f>AD211</f>
        <v>6.6591399999999998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Profil kryjący Frame jawor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52.337490000000003</v>
      </c>
      <c r="L61" s="83">
        <f t="shared" si="15"/>
        <v>130.84372500000001</v>
      </c>
      <c r="M61" s="68"/>
      <c r="N61" s="83">
        <f>AD211</f>
        <v>6.6591399999999998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91.980369999999994</v>
      </c>
      <c r="L62" s="83">
        <f t="shared" si="15"/>
        <v>229.95092499999998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65.652900000000002</v>
      </c>
      <c r="K63" s="74" t="s">
        <v>124</v>
      </c>
      <c r="L63" s="83">
        <f>J63</f>
        <v>65.652900000000002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Profil kryjący Top biały</v>
      </c>
      <c r="AC63" s="91">
        <f t="shared" ref="AC63:AC110" si="17">$AB$1*AD63</f>
        <v>18.595009999999998</v>
      </c>
      <c r="AD63" s="91">
        <f t="shared" ref="AD63:AD92" si="18">VLOOKUP(AA63,$Z$246:$AJ$508,(5+$AE$1),0)</f>
        <v>18.595009999999998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165.55967000000001</v>
      </c>
      <c r="E64" s="82">
        <f>AD7</f>
        <v>9.7358899999999995</v>
      </c>
      <c r="F64" s="68" t="s">
        <v>85</v>
      </c>
      <c r="G64" s="82">
        <f>AD39</f>
        <v>185.37687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6.6591399999999998</v>
      </c>
      <c r="O64" s="69"/>
      <c r="Z64">
        <v>60</v>
      </c>
      <c r="AA64" s="90" t="s">
        <v>499</v>
      </c>
      <c r="AB64" s="179" t="str">
        <f t="shared" si="16"/>
        <v>Profil kryjący Top brzoza</v>
      </c>
      <c r="AC64" s="91">
        <f t="shared" si="17"/>
        <v>24.326920000000001</v>
      </c>
      <c r="AD64" s="91">
        <f t="shared" si="18"/>
        <v>24.326920000000001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224.55905000000001</v>
      </c>
      <c r="E65" s="68"/>
      <c r="F65" s="68" t="s">
        <v>86</v>
      </c>
      <c r="G65" s="82">
        <f>AD41</f>
        <v>255.91313</v>
      </c>
      <c r="H65" s="68"/>
      <c r="I65" s="68" t="s">
        <v>41</v>
      </c>
      <c r="J65" s="68">
        <v>0</v>
      </c>
      <c r="K65" s="68">
        <f>AD54</f>
        <v>23.981380000000001</v>
      </c>
      <c r="L65" s="84">
        <f t="shared" si="15"/>
        <v>59.953450000000004</v>
      </c>
      <c r="M65" s="68"/>
      <c r="N65" s="84">
        <f>AD211</f>
        <v>6.6591399999999998</v>
      </c>
      <c r="O65" s="69"/>
      <c r="Z65">
        <v>60</v>
      </c>
      <c r="AA65" s="90" t="s">
        <v>500</v>
      </c>
      <c r="AB65" s="179" t="str">
        <f t="shared" si="16"/>
        <v>Profil kryjący Top buk</v>
      </c>
      <c r="AC65" s="91">
        <f t="shared" si="17"/>
        <v>24.326920000000001</v>
      </c>
      <c r="AD65" s="91">
        <f t="shared" si="18"/>
        <v>24.326920000000001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65.023520000000005</v>
      </c>
      <c r="L66" s="82">
        <f t="shared" si="15"/>
        <v>162.55880000000002</v>
      </c>
      <c r="M66" s="68"/>
      <c r="N66" s="84">
        <f>AD211</f>
        <v>6.6591399999999998</v>
      </c>
      <c r="O66" s="69"/>
      <c r="Z66">
        <v>60</v>
      </c>
      <c r="AA66" s="90" t="s">
        <v>500</v>
      </c>
      <c r="AB66" s="179" t="str">
        <f t="shared" si="16"/>
        <v>Profil kryjący Top buk</v>
      </c>
      <c r="AC66" s="91">
        <f t="shared" si="17"/>
        <v>24.326920000000001</v>
      </c>
      <c r="AD66" s="91">
        <f t="shared" si="18"/>
        <v>24.326920000000001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170.90098</v>
      </c>
      <c r="D67" s="68">
        <f>AD156</f>
        <v>188.14168000000001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115.13282</v>
      </c>
      <c r="L67" s="82">
        <f t="shared" si="15"/>
        <v>287.83204999999998</v>
      </c>
      <c r="M67" s="68"/>
      <c r="N67" s="84">
        <f>AD211</f>
        <v>6.6591399999999998</v>
      </c>
      <c r="O67" s="69"/>
      <c r="Z67">
        <v>34</v>
      </c>
      <c r="AA67" s="90" t="s">
        <v>501</v>
      </c>
      <c r="AB67" s="179" t="str">
        <f t="shared" si="16"/>
        <v>Profil kryjący Top czarny</v>
      </c>
      <c r="AC67" s="91">
        <f t="shared" si="17"/>
        <v>18.595009999999998</v>
      </c>
      <c r="AD67" s="91">
        <f t="shared" si="18"/>
        <v>18.595009999999998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6.2376800000000001</v>
      </c>
      <c r="D68" s="68"/>
      <c r="E68" s="68"/>
      <c r="F68" s="68"/>
      <c r="G68" s="68"/>
      <c r="H68" s="68"/>
      <c r="I68" s="72" t="s">
        <v>123</v>
      </c>
      <c r="J68" s="68">
        <f>AC162</f>
        <v>108.78563</v>
      </c>
      <c r="K68" s="74" t="s">
        <v>124</v>
      </c>
      <c r="L68" s="82">
        <f>J68</f>
        <v>108.78563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Profil kryjący Top ALU 230L</v>
      </c>
      <c r="AC68" s="91">
        <f t="shared" si="17"/>
        <v>52.337490000000003</v>
      </c>
      <c r="AD68" s="91">
        <f t="shared" si="18"/>
        <v>52.337490000000003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27.88409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Profil kryjący Top al.(plast)</v>
      </c>
      <c r="AC69" s="91">
        <f t="shared" si="17"/>
        <v>24.326920000000001</v>
      </c>
      <c r="AD69" s="91">
        <f t="shared" si="18"/>
        <v>24.326920000000001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5" t="s">
        <v>35</v>
      </c>
      <c r="D70" s="615"/>
      <c r="E70" s="615"/>
      <c r="F70" s="68"/>
      <c r="G70" s="615" t="s">
        <v>34</v>
      </c>
      <c r="H70" s="615"/>
      <c r="I70" s="615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Profil kryjący Top jawor</v>
      </c>
      <c r="AC70" s="91">
        <f t="shared" si="17"/>
        <v>24.326920000000001</v>
      </c>
      <c r="AD70" s="91">
        <f t="shared" si="18"/>
        <v>24.326920000000001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Profil kryjący Top szary</v>
      </c>
      <c r="AC71" s="91">
        <f t="shared" si="17"/>
        <v>18.595009999999998</v>
      </c>
      <c r="AD71" s="91">
        <f t="shared" si="18"/>
        <v>18.595009999999998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178.88355999999999</v>
      </c>
      <c r="D72" s="80">
        <f>AD74</f>
        <v>26.355560000000001</v>
      </c>
      <c r="E72" s="86">
        <f>C72+D72</f>
        <v>205.23911999999999</v>
      </c>
      <c r="F72" s="68" t="e">
        <f>AD9</f>
        <v>#N/A</v>
      </c>
      <c r="G72" s="68">
        <f>AD49</f>
        <v>98.007369999999995</v>
      </c>
      <c r="H72" s="80">
        <f>AD84</f>
        <v>27.027149999999999</v>
      </c>
      <c r="I72" s="81">
        <f>G72+H72</f>
        <v>125.03451999999999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Profil kryjący Top czerś.</v>
      </c>
      <c r="AC72" s="91">
        <f t="shared" si="17"/>
        <v>24.326920000000001</v>
      </c>
      <c r="AD72" s="91">
        <f t="shared" si="18"/>
        <v>24.326920000000001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178.88355999999999</v>
      </c>
      <c r="D73" s="80" t="e">
        <f>AD73</f>
        <v>#N/A</v>
      </c>
      <c r="E73" s="86" t="e">
        <f>C73+D73</f>
        <v>#N/A</v>
      </c>
      <c r="F73" s="68"/>
      <c r="G73" s="68">
        <f>AD49</f>
        <v>98.007369999999995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Osłona lis.koń.z uskokiem biała</v>
      </c>
      <c r="AC74" s="91">
        <f t="shared" si="17"/>
        <v>26.355560000000001</v>
      </c>
      <c r="AD74" s="91">
        <f t="shared" si="18"/>
        <v>26.355560000000001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Osłona lis.koń.z uskokiem czarna</v>
      </c>
      <c r="AC77" s="91">
        <f t="shared" si="17"/>
        <v>26.355560000000001</v>
      </c>
      <c r="AD77" s="91">
        <f t="shared" si="18"/>
        <v>26.355560000000001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Osłona lis.koń.z uskokiem al.(plas.)</v>
      </c>
      <c r="AC78" s="91">
        <f t="shared" si="17"/>
        <v>44.565689999999996</v>
      </c>
      <c r="AD78" s="91">
        <f t="shared" si="18"/>
        <v>44.565689999999996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15.70008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Osłona lis.koń.z uskokiem jawor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42.180149999999998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Osłona lis.koń.z uskokiem szara</v>
      </c>
      <c r="AC80" s="91">
        <f t="shared" si="17"/>
        <v>26.355560000000001</v>
      </c>
      <c r="AD80" s="91">
        <f t="shared" si="18"/>
        <v>26.355560000000001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25.78689</v>
      </c>
      <c r="M81">
        <f t="shared" si="22"/>
        <v>84.051220000000001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12.394579999999999</v>
      </c>
      <c r="M82">
        <f t="shared" si="22"/>
        <v>45.669879999999999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Osłona listwy mask. z uskokiem jawor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5.2317799999999997</v>
      </c>
      <c r="M83">
        <f t="shared" si="22"/>
        <v>18.595009999999998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9.1345799999999997</v>
      </c>
      <c r="M84">
        <f t="shared" si="22"/>
        <v>8.5023300000000006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Osłona listwy mask. z uskokiem-uni czarn</v>
      </c>
      <c r="AC84" s="91">
        <f t="shared" si="17"/>
        <v>27.027149999999999</v>
      </c>
      <c r="AD84" s="91">
        <f t="shared" si="18"/>
        <v>27.027149999999999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Osłona listwy mask. z uskokiem-uni szara</v>
      </c>
      <c r="AC85" s="91">
        <f t="shared" si="17"/>
        <v>27.027149999999999</v>
      </c>
      <c r="AD85" s="91">
        <f t="shared" si="18"/>
        <v>27.027149999999999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Osłona listwy mask. z uskokiem-uni biała</v>
      </c>
      <c r="AC86" s="91">
        <f t="shared" si="17"/>
        <v>27.027149999999999</v>
      </c>
      <c r="AD86" s="91">
        <f t="shared" si="18"/>
        <v>27.027149999999999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Osłona listwy mask. z uskokiem alum.plas</v>
      </c>
      <c r="AC88" s="91">
        <f t="shared" si="17"/>
        <v>39.494030000000002</v>
      </c>
      <c r="AD88" s="91">
        <f t="shared" si="18"/>
        <v>39.494030000000002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Taśma klejąca, 50m w rolce</v>
      </c>
      <c r="AC90" s="91">
        <f t="shared" si="17"/>
        <v>167.18084999999999</v>
      </c>
      <c r="AD90" s="91">
        <f t="shared" si="18"/>
        <v>167.18084999999999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Roletowy profil Metal-line 20mm ALU 230L</v>
      </c>
      <c r="AC91" s="91">
        <f t="shared" si="17"/>
        <v>19.759789999999999</v>
      </c>
      <c r="AD91" s="91">
        <f t="shared" si="18"/>
        <v>19.759789999999999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620.73266999999998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620.73266999999998</v>
      </c>
      <c r="L92">
        <f>AD185</f>
        <v>620.73266999999998</v>
      </c>
      <c r="M92">
        <f t="shared" ref="M92:M108" si="24">L92*$AB$1</f>
        <v>620.73266999999998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Roletowy profil Matal-line 20mm nierdz 3</v>
      </c>
      <c r="AC92" s="91">
        <f t="shared" si="17"/>
        <v>20.679410000000001</v>
      </c>
      <c r="AD92" s="91">
        <f t="shared" si="18"/>
        <v>20.679410000000001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725.87396999999999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725.87396999999999</v>
      </c>
      <c r="L93">
        <f>L92+$F$31*AC3</f>
        <v>725.87396999999999</v>
      </c>
      <c r="M93">
        <f t="shared" si="24"/>
        <v>725.87396999999999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617.58573000000001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617.58573000000001</v>
      </c>
      <c r="L94">
        <f>AD181</f>
        <v>617.58573000000001</v>
      </c>
      <c r="M94">
        <f t="shared" si="24"/>
        <v>617.58573000000001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722.72703000000001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722.72703000000001</v>
      </c>
      <c r="L95">
        <f>L94+$F$31*AC3</f>
        <v>722.72703000000001</v>
      </c>
      <c r="M95">
        <f t="shared" si="24"/>
        <v>722.72703000000001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653.04493000000002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653.04493000000002</v>
      </c>
      <c r="L96">
        <f>AD182</f>
        <v>653.04493000000002</v>
      </c>
      <c r="M96">
        <f t="shared" si="24"/>
        <v>653.04493000000002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758.18623000000002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758.18623000000002</v>
      </c>
      <c r="L97">
        <f>L96+$F$31*AC3</f>
        <v>758.18623000000002</v>
      </c>
      <c r="M97">
        <f t="shared" si="24"/>
        <v>758.18623000000002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682.26646000000005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682.26646000000005</v>
      </c>
      <c r="L98">
        <f>AD183</f>
        <v>682.26646000000005</v>
      </c>
      <c r="M98">
        <f t="shared" si="24"/>
        <v>682.26646000000005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787.40776000000005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787.40776000000005</v>
      </c>
      <c r="L99">
        <f>L98+$F$31*AC3</f>
        <v>787.40776000000005</v>
      </c>
      <c r="M99">
        <f t="shared" si="24"/>
        <v>787.40776000000005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705.41887999999994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705.41887999999994</v>
      </c>
      <c r="L100">
        <f>AD184</f>
        <v>705.41887999999994</v>
      </c>
      <c r="M100">
        <f t="shared" si="24"/>
        <v>705.41887999999994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810.56017999999995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810.56017999999995</v>
      </c>
      <c r="L101">
        <f>L100+$F$31*AC3</f>
        <v>810.56017999999995</v>
      </c>
      <c r="M101">
        <f t="shared" si="24"/>
        <v>810.56017999999995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74.031620000000004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74.031620000000004</v>
      </c>
      <c r="L102">
        <f>AD186</f>
        <v>74.031620000000004</v>
      </c>
      <c r="M102">
        <f t="shared" si="24"/>
        <v>74.031620000000004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18.350619999999999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18.350619999999999</v>
      </c>
      <c r="L106">
        <f>AD18</f>
        <v>18.350619999999999</v>
      </c>
      <c r="M106">
        <f t="shared" si="24"/>
        <v>18.350619999999999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nie można zastosować mech.rolet. C3</v>
      </c>
      <c r="B111" s="27"/>
      <c r="C111" s="27" t="str">
        <f>IF(výpočty!$H$100=3,výpočty!C100,IF(výpočty!$H$101=3,výpočty!C101,Překlady!A92))</f>
        <v>nie można zastosować mech.rolet. C3</v>
      </c>
      <c r="D111" s="27" t="str">
        <f>IF(výpočty!$H$100=3,výpočty!D100,IF(výpočty!$H$101=3,výpočty!D101,Překlady!A92))</f>
        <v>nie można zastosować mech.rolet. C3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Roletowy profil E23 biały</v>
      </c>
      <c r="AC112" s="91">
        <f t="shared" ref="AC112:AC143" si="29">$AB$1*AD112</f>
        <v>19.28388</v>
      </c>
      <c r="AD112" s="91">
        <f t="shared" ref="AD112:AD143" si="30">VLOOKUP(AA112,$Z$246:$AJ$508,(5+$AE$1),0)</f>
        <v>19.28388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Roletowy profil E23 brzoza</v>
      </c>
      <c r="AC113" s="91">
        <f t="shared" si="29"/>
        <v>21.09207</v>
      </c>
      <c r="AD113" s="91">
        <f t="shared" si="30"/>
        <v>21.09207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Roletowy profil E23 buk</v>
      </c>
      <c r="AC114" s="91">
        <f t="shared" si="29"/>
        <v>21.09207</v>
      </c>
      <c r="AD114" s="91">
        <f t="shared" si="30"/>
        <v>21.09207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18.350619999999999</v>
      </c>
      <c r="G115" s="24"/>
      <c r="Z115">
        <v>65</v>
      </c>
      <c r="AA115" s="90" t="s">
        <v>530</v>
      </c>
      <c r="AB115" s="179" t="str">
        <f t="shared" si="28"/>
        <v>Roletowy profil E23 calvados</v>
      </c>
      <c r="AC115" s="91">
        <f t="shared" si="29"/>
        <v>16.690989999999999</v>
      </c>
      <c r="AD115" s="91">
        <f t="shared" si="30"/>
        <v>16.690989999999999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Roletowy profil E23 czarny</v>
      </c>
      <c r="AC116" s="91">
        <f t="shared" si="29"/>
        <v>19.28388</v>
      </c>
      <c r="AD116" s="91">
        <f t="shared" si="30"/>
        <v>19.28388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Roletowy profil E23 al.(plast.)</v>
      </c>
      <c r="AC117" s="91">
        <f t="shared" si="29"/>
        <v>21.09207</v>
      </c>
      <c r="AD117" s="91">
        <f t="shared" si="30"/>
        <v>21.09207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Roletowy profil E23 jawor</v>
      </c>
      <c r="AC118" s="91">
        <f t="shared" si="29"/>
        <v>21.09207</v>
      </c>
      <c r="AD118" s="91">
        <f t="shared" si="30"/>
        <v>21.09207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Roletowy profil E23 szary</v>
      </c>
      <c r="AC119" s="91">
        <f t="shared" si="29"/>
        <v>19.28388</v>
      </c>
      <c r="AD119" s="91">
        <f t="shared" si="30"/>
        <v>19.28388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Roletowy profil E23 czereś.Havana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Roletowy profil E23 czereśnia</v>
      </c>
      <c r="AC121" s="91">
        <f t="shared" si="29"/>
        <v>21.09207</v>
      </c>
      <c r="AD121" s="91">
        <f t="shared" si="30"/>
        <v>21.09207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Narożnik lis.tor.na wkr. jas.szary (al.)</v>
      </c>
      <c r="AC122" s="91">
        <f t="shared" si="29"/>
        <v>5.8428699999999996</v>
      </c>
      <c r="AD122" s="91">
        <f t="shared" si="30"/>
        <v>5.8428699999999996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Róg list.tor.90 °- 8mm biały</v>
      </c>
      <c r="AC123" s="91">
        <f t="shared" si="29"/>
        <v>5.2317799999999997</v>
      </c>
      <c r="AD123" s="91">
        <f t="shared" si="30"/>
        <v>5.2317799999999997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Narożnik lis.tor.na wkr. czarny</v>
      </c>
      <c r="AC124" s="91">
        <f t="shared" si="29"/>
        <v>5.8428699999999996</v>
      </c>
      <c r="AD124" s="91">
        <f t="shared" si="30"/>
        <v>5.8428699999999996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Róg list.tor.90 °-8mm js.brąz (buk)</v>
      </c>
      <c r="AC125" s="91">
        <f t="shared" si="29"/>
        <v>5.2317799999999997</v>
      </c>
      <c r="AD125" s="91">
        <f t="shared" si="30"/>
        <v>5.2317799999999997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Narożnik lis.tor.na wkr. jas.brąz.(buk)</v>
      </c>
      <c r="AC126" s="91">
        <f t="shared" si="29"/>
        <v>5.8428699999999996</v>
      </c>
      <c r="AD126" s="91">
        <f t="shared" si="30"/>
        <v>5.8428699999999996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Narożnik lis.tor.na wkr. Beżowy (jawor)</v>
      </c>
      <c r="AC127" s="91">
        <f t="shared" si="29"/>
        <v>5.8428699999999996</v>
      </c>
      <c r="AD127" s="91">
        <f t="shared" si="30"/>
        <v>5.8428699999999996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Narożnik lis.tor.na wkr. Brązowy (Havana</v>
      </c>
      <c r="AC128" s="91">
        <f t="shared" si="29"/>
        <v>4.6248800000000001</v>
      </c>
      <c r="AD128" s="91">
        <f t="shared" si="30"/>
        <v>4.6248800000000001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Narożnik lis.tor.na wkr. Brązowy (czerś.</v>
      </c>
      <c r="AC129" s="91">
        <f t="shared" si="29"/>
        <v>5.8428699999999996</v>
      </c>
      <c r="AD129" s="91">
        <f t="shared" si="30"/>
        <v>5.8428699999999996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Narożnik lis.tor.na wkr. Beżowy (brzoza)</v>
      </c>
      <c r="AC130" s="91">
        <f t="shared" si="29"/>
        <v>5.8428699999999996</v>
      </c>
      <c r="AD130" s="91">
        <f t="shared" si="30"/>
        <v>5.8428699999999996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Narożnik lis.tor.na wkr. Brązowy (calv.)</v>
      </c>
      <c r="AC131" s="91">
        <f t="shared" si="29"/>
        <v>4.6248800000000001</v>
      </c>
      <c r="AD131" s="91">
        <f t="shared" si="30"/>
        <v>4.6248800000000001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Róg list.tor.90 °-8mm szary</v>
      </c>
      <c r="AC132" s="91">
        <f t="shared" si="29"/>
        <v>5.2317799999999997</v>
      </c>
      <c r="AD132" s="91">
        <f t="shared" si="30"/>
        <v>5.2317799999999997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Narożnik lis.tor.na wkr. Szary</v>
      </c>
      <c r="AC133" s="91">
        <f t="shared" si="29"/>
        <v>5.8428699999999996</v>
      </c>
      <c r="AD133" s="91">
        <f t="shared" si="30"/>
        <v>5.8428699999999996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Prof.łącz. do śr.lis.uchwyt.</v>
      </c>
      <c r="AC134" s="91">
        <f t="shared" si="29"/>
        <v>12.713850000000001</v>
      </c>
      <c r="AD134" s="91">
        <f t="shared" si="30"/>
        <v>12.713850000000001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Amortyz.środkowa Top jas.brąz.(buk)</v>
      </c>
      <c r="AC135" s="91">
        <f t="shared" si="29"/>
        <v>2.0286400000000002</v>
      </c>
      <c r="AD135" s="91">
        <f t="shared" si="30"/>
        <v>2.0286400000000002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Środkowa listwa uchwytowa C3-uni szara</v>
      </c>
      <c r="AC136" s="91">
        <f t="shared" si="29"/>
        <v>42.180149999999998</v>
      </c>
      <c r="AD136" s="91">
        <f t="shared" si="30"/>
        <v>42.180149999999998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Środkowa listwa uchwytowa C3-uni biał.</v>
      </c>
      <c r="AC137" s="91">
        <f t="shared" si="29"/>
        <v>42.180149999999998</v>
      </c>
      <c r="AD137" s="91">
        <f t="shared" si="30"/>
        <v>42.180149999999998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Środkowa listwa uchwytowa C3-dekor buk</v>
      </c>
      <c r="AC138" s="91">
        <f t="shared" si="29"/>
        <v>58.996630000000003</v>
      </c>
      <c r="AD138" s="91">
        <f t="shared" si="30"/>
        <v>58.996630000000003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Środkowa listwa uchwytowa C3-uni czar.</v>
      </c>
      <c r="AC139" s="91">
        <f t="shared" si="29"/>
        <v>42.180149999999998</v>
      </c>
      <c r="AD139" s="91">
        <f t="shared" si="30"/>
        <v>42.180149999999998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Śr. List. Uchw. C3 ALU z ad.ALU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Środ. list. uchw. C3 z adapt. stal nier.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Środkowa listwa uchwytowa C3-al.(plas)</v>
      </c>
      <c r="AC142" s="91">
        <f t="shared" si="29"/>
        <v>58.996630000000003</v>
      </c>
      <c r="AD142" s="91">
        <f t="shared" si="30"/>
        <v>58.996630000000003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Środkowa amort.8mm biała</v>
      </c>
      <c r="AC143" s="91">
        <f t="shared" si="29"/>
        <v>2.5358299999999998</v>
      </c>
      <c r="AD143" s="91">
        <f t="shared" si="30"/>
        <v>2.5358299999999998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Środkowa amort.8mm czarna</v>
      </c>
      <c r="AC144" s="91">
        <f t="shared" ref="AC144:AC175" si="32">$AB$1*AD144</f>
        <v>2.5358299999999998</v>
      </c>
      <c r="AD144" s="91">
        <f t="shared" ref="AD144:AD175" si="33">VLOOKUP(AA144,$Z$246:$AJ$508,(5+$AE$1),0)</f>
        <v>2.5358299999999998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Środkowa amort.8mm jas.brąz (buk)</v>
      </c>
      <c r="AC145" s="91">
        <f t="shared" si="32"/>
        <v>2.5358299999999998</v>
      </c>
      <c r="AD145" s="91">
        <f t="shared" si="33"/>
        <v>2.5358299999999998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Środkowa amort.8mm szara</v>
      </c>
      <c r="AC146" s="91">
        <f t="shared" si="32"/>
        <v>2.5358299999999998</v>
      </c>
      <c r="AD146" s="91">
        <f t="shared" si="33"/>
        <v>2.5358299999999998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Amortyz.środkowa Top jas. szara (al.)</v>
      </c>
      <c r="AC147" s="91">
        <f t="shared" si="32"/>
        <v>2.0286400000000002</v>
      </c>
      <c r="AD147" s="91">
        <f t="shared" si="33"/>
        <v>2.0286400000000002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Amortyz.środkowa Top biała</v>
      </c>
      <c r="AC148" s="91">
        <f t="shared" si="32"/>
        <v>2.0286400000000002</v>
      </c>
      <c r="AD148" s="91">
        <f t="shared" si="33"/>
        <v>2.0286400000000002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Amortyz.środkowa Top czarna</v>
      </c>
      <c r="AC149" s="91">
        <f t="shared" si="32"/>
        <v>2.0286400000000002</v>
      </c>
      <c r="AD149" s="91">
        <f t="shared" si="33"/>
        <v>2.0286400000000002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Amortyz.środkowa Top jas. szara (al.)</v>
      </c>
      <c r="AC150" s="91">
        <f t="shared" si="32"/>
        <v>2.0286400000000002</v>
      </c>
      <c r="AD150" s="91">
        <f t="shared" si="33"/>
        <v>2.0286400000000002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Amortyz.środkowa Top beżowa(jawor)</v>
      </c>
      <c r="AC151" s="91">
        <f t="shared" si="32"/>
        <v>2.0286400000000002</v>
      </c>
      <c r="AD151" s="91">
        <f t="shared" si="33"/>
        <v>2.0286400000000002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Amortyz.środkowa Top szara</v>
      </c>
      <c r="AC152" s="91">
        <f t="shared" si="32"/>
        <v>2.0286400000000002</v>
      </c>
      <c r="AD152" s="91">
        <f t="shared" si="33"/>
        <v>2.0286400000000002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Amortyz.środkowa Top brąz.(czereś.)</v>
      </c>
      <c r="AC153" s="91">
        <f t="shared" si="32"/>
        <v>2.0286400000000002</v>
      </c>
      <c r="AD153" s="91">
        <f t="shared" si="33"/>
        <v>2.0286400000000002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Listwa tor. na wkręt beżowa(brzoza)</v>
      </c>
      <c r="AC154" s="91">
        <f t="shared" si="32"/>
        <v>20.510159999999999</v>
      </c>
      <c r="AD154" s="91">
        <f t="shared" si="33"/>
        <v>20.510159999999999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Listwa torowa Metal-line ALU 230L</v>
      </c>
      <c r="AC155" s="91">
        <f t="shared" si="32"/>
        <v>170.90098</v>
      </c>
      <c r="AD155" s="91">
        <f t="shared" si="33"/>
        <v>170.90098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Listwa torowa Metal-line nierdz. 360L</v>
      </c>
      <c r="AC156" s="91">
        <f t="shared" si="32"/>
        <v>188.14168000000001</v>
      </c>
      <c r="AD156" s="91">
        <f t="shared" si="33"/>
        <v>188.14168000000001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Listwa tor. na wkręt ciem. szara(al.)</v>
      </c>
      <c r="AC157" s="91">
        <f t="shared" si="32"/>
        <v>20.510159999999999</v>
      </c>
      <c r="AD157" s="91">
        <f t="shared" si="33"/>
        <v>20.510159999999999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Listwa tor. 8mm do zafrez. biała</v>
      </c>
      <c r="AC158" s="91">
        <f t="shared" si="32"/>
        <v>9.7400800000000007</v>
      </c>
      <c r="AD158" s="91">
        <f t="shared" si="33"/>
        <v>9.7400800000000007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Listwa tor. na wkręt biała</v>
      </c>
      <c r="AC159" s="91">
        <f t="shared" si="32"/>
        <v>20.510159999999999</v>
      </c>
      <c r="AD159" s="91">
        <f t="shared" si="33"/>
        <v>20.510159999999999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Listwa tor. 8mm do zafrez. czarna</v>
      </c>
      <c r="AC160" s="91">
        <f t="shared" si="32"/>
        <v>9.7397399999999994</v>
      </c>
      <c r="AD160" s="91">
        <f t="shared" si="33"/>
        <v>9.7397399999999994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Listwa tor. na wkręt czarna</v>
      </c>
      <c r="AC161" s="91">
        <f t="shared" si="32"/>
        <v>20.510159999999999</v>
      </c>
      <c r="AD161" s="91">
        <f t="shared" si="33"/>
        <v>20.510159999999999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Listwa tor.Frame-dol.część, ALU 230L</v>
      </c>
      <c r="AC162" s="91">
        <f t="shared" si="32"/>
        <v>108.78563</v>
      </c>
      <c r="AD162" s="91">
        <f t="shared" si="33"/>
        <v>108.78563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Listwa tor. 8mm do zafrez.jas.br.buk</v>
      </c>
      <c r="AC163" s="91">
        <f t="shared" si="32"/>
        <v>9.7397399999999994</v>
      </c>
      <c r="AD163" s="91">
        <f t="shared" si="33"/>
        <v>9.7397399999999994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Listwa tor. na wkręt jas.brąz(buk)</v>
      </c>
      <c r="AC164" s="91">
        <f t="shared" si="32"/>
        <v>20.510159999999999</v>
      </c>
      <c r="AD164" s="91">
        <f t="shared" si="33"/>
        <v>20.510159999999999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Listwa tor. na wkręt brąz(calvados)</v>
      </c>
      <c r="AC165" s="91">
        <f t="shared" si="32"/>
        <v>16.23028</v>
      </c>
      <c r="AD165" s="91">
        <f t="shared" si="33"/>
        <v>16.23028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Listwa tor. na wkręt beżowa(jawor)</v>
      </c>
      <c r="AC166" s="91">
        <f t="shared" si="32"/>
        <v>20.510159999999999</v>
      </c>
      <c r="AD166" s="91">
        <f t="shared" si="33"/>
        <v>20.510159999999999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Listwa tor. na wkręt brąz(Havana)</v>
      </c>
      <c r="AC167" s="91">
        <f t="shared" si="32"/>
        <v>16.23028</v>
      </c>
      <c r="AD167" s="91">
        <f t="shared" si="33"/>
        <v>16.23028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Listwa tor. na wkręt brąz(czereś.)</v>
      </c>
      <c r="AC168" s="91">
        <f t="shared" si="32"/>
        <v>20.510159999999999</v>
      </c>
      <c r="AD168" s="91">
        <f t="shared" si="33"/>
        <v>20.510159999999999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Listwa tor. 8mm do zafrez. szara</v>
      </c>
      <c r="AC169" s="91">
        <f t="shared" si="32"/>
        <v>9.7397399999999994</v>
      </c>
      <c r="AD169" s="91">
        <f t="shared" si="33"/>
        <v>9.7397399999999994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Listwa tor. na wkręt szara</v>
      </c>
      <c r="AC170" s="91">
        <f t="shared" si="32"/>
        <v>20.510159999999999</v>
      </c>
      <c r="AD170" s="91">
        <f t="shared" si="33"/>
        <v>20.510159999999999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Listwa tor.Top-dolna część, ALU 230L</v>
      </c>
      <c r="AC171" s="358">
        <f t="shared" si="32"/>
        <v>65.652900000000002</v>
      </c>
      <c r="AD171" s="358">
        <f t="shared" si="33"/>
        <v>65.652900000000002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Ślimak rolety 8mm, dł.zwoju 1280mm czar.</v>
      </c>
      <c r="AC172" s="91">
        <f t="shared" si="32"/>
        <v>40.918610000000001</v>
      </c>
      <c r="AD172" s="91">
        <f t="shared" si="33"/>
        <v>40.918610000000001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Ślimak rolety 8mm, dł.zwoju 1280mm szary</v>
      </c>
      <c r="AC173" s="91">
        <f t="shared" si="32"/>
        <v>40.918610000000001</v>
      </c>
      <c r="AD173" s="91">
        <f t="shared" si="33"/>
        <v>40.918610000000001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Ślimak rolety 8mm, dł.zwoju 670mm czar.</v>
      </c>
      <c r="AC174" s="91">
        <f t="shared" si="32"/>
        <v>30.603929999999998</v>
      </c>
      <c r="AD174" s="91">
        <f t="shared" si="33"/>
        <v>30.603929999999998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Ślimak rolety 8mm, dł.zwoju 1590mm czar.</v>
      </c>
      <c r="AC176" s="91">
        <f t="shared" ref="AC176:AC205" si="34">$AB$1*AD176</f>
        <v>50.744320000000002</v>
      </c>
      <c r="AD176" s="91">
        <f t="shared" ref="AD176:AD198" si="35">VLOOKUP(AA176,$Z$246:$AJ$508,(5+$AE$1),0)</f>
        <v>50.744320000000002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Ślimak rolety Top/Frame, dł.zwoju 1240mm</v>
      </c>
      <c r="AC177" s="91">
        <f t="shared" si="34"/>
        <v>39.811579999999999</v>
      </c>
      <c r="AD177" s="91">
        <f t="shared" si="35"/>
        <v>39.811579999999999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Listwa torowa 15,5mm pionowa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Mechanizm roletowy C3 - 600 mm</v>
      </c>
      <c r="AC181" s="91">
        <f t="shared" si="34"/>
        <v>617.58573000000001</v>
      </c>
      <c r="AD181" s="91">
        <f t="shared" si="35"/>
        <v>617.58573000000001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Mechanizm roletowy  C3 - 800 mm</v>
      </c>
      <c r="AC182" s="91">
        <f t="shared" si="34"/>
        <v>653.04493000000002</v>
      </c>
      <c r="AD182" s="91">
        <f t="shared" si="35"/>
        <v>653.04493000000002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Mechanizm roletowy  C3 - 1000 mm</v>
      </c>
      <c r="AC183" s="91">
        <f t="shared" si="34"/>
        <v>682.26646000000005</v>
      </c>
      <c r="AD183" s="91">
        <f t="shared" si="35"/>
        <v>682.26646000000005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Mechanizm roletowy  C3 - 1200 mm</v>
      </c>
      <c r="AC184" s="91">
        <f t="shared" si="34"/>
        <v>705.41887999999994</v>
      </c>
      <c r="AD184" s="91">
        <f t="shared" si="35"/>
        <v>705.41887999999994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Mechanizm roletowy  C3 - 400 mm</v>
      </c>
      <c r="AC185" s="91">
        <f t="shared" si="34"/>
        <v>620.73266999999998</v>
      </c>
      <c r="AD185" s="91">
        <f t="shared" si="35"/>
        <v>620.73266999999998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Mechanizm roletowy  C6</v>
      </c>
      <c r="AC186" s="91">
        <f t="shared" si="34"/>
        <v>74.031620000000004</v>
      </c>
      <c r="AD186" s="91">
        <f t="shared" si="35"/>
        <v>74.031620000000004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Zaślepka Frame biała</v>
      </c>
      <c r="AC188" s="91">
        <f t="shared" si="34"/>
        <v>27.88409</v>
      </c>
      <c r="AD188" s="91">
        <f t="shared" si="35"/>
        <v>27.88409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Zaślepka Frame jas.brąz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Zaślepka Frame czarna</v>
      </c>
      <c r="AC191" s="91">
        <f t="shared" si="34"/>
        <v>27.88409</v>
      </c>
      <c r="AD191" s="91">
        <f t="shared" si="35"/>
        <v>27.88409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Zaślepka Frame beżowa (jawor)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Zaślepka Frame szara</v>
      </c>
      <c r="AC194" s="91">
        <f t="shared" si="34"/>
        <v>27.88409</v>
      </c>
      <c r="AD194" s="91">
        <f t="shared" si="35"/>
        <v>27.88409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Zaślepka Frame jas. szara (al.)</v>
      </c>
      <c r="AC195" s="91">
        <f t="shared" si="34"/>
        <v>27.88409</v>
      </c>
      <c r="AD195" s="91">
        <f t="shared" si="35"/>
        <v>27.88409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Zaślepka do toru pionow. R92845 lewa</v>
      </c>
      <c r="AC197" s="91">
        <f t="shared" si="34"/>
        <v>3.1188400000000001</v>
      </c>
      <c r="AD197" s="91">
        <f t="shared" si="35"/>
        <v>3.1188400000000001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Zaślepka do toru pionow. R92846 lewa</v>
      </c>
      <c r="AC198" s="91">
        <f t="shared" si="34"/>
        <v>3.1188400000000001</v>
      </c>
      <c r="AD198" s="91">
        <f t="shared" si="35"/>
        <v>3.1188400000000001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nie można zastosować mech.rolet. C3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Roletowy profil E4 al.(plast)</v>
      </c>
      <c r="AC201" s="91">
        <f t="shared" si="34"/>
        <v>25.78689</v>
      </c>
      <c r="AD201" s="91">
        <f t="shared" ref="AD201:AD204" si="38">VLOOKUP(AA201,$Z$246:$AJ$508,(5+$AE$1),0)</f>
        <v>25.78689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Listwa tor. 12mm do zafrez. szara</v>
      </c>
      <c r="AC202" s="91">
        <f t="shared" si="34"/>
        <v>12.394579999999999</v>
      </c>
      <c r="AD202" s="91">
        <f t="shared" si="38"/>
        <v>12.394579999999999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Róg list.tor.90 °-12mm szary</v>
      </c>
      <c r="AC203" s="91">
        <f t="shared" si="34"/>
        <v>5.2317799999999997</v>
      </c>
      <c r="AD203" s="91">
        <f t="shared" si="38"/>
        <v>5.2317799999999997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Ślizgacz 12 mm szara</v>
      </c>
      <c r="AC204" s="91">
        <f t="shared" si="34"/>
        <v>9.1345799999999997</v>
      </c>
      <c r="AD204" s="91">
        <f t="shared" si="38"/>
        <v>9.1345799999999997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Roletowy profil E9 jedwabiście biały</v>
      </c>
      <c r="AC205" s="91">
        <f t="shared" si="34"/>
        <v>15.70008</v>
      </c>
      <c r="AD205" s="91">
        <f t="shared" ref="AD205" si="40">VLOOKUP(AA205,$Z$246:$AJ$508,(5+$AE$1),0)</f>
        <v>15.70008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Środkowa listwa uchwytowa jedwabiście biała</v>
      </c>
      <c r="AC206" s="91">
        <f t="shared" ref="AC206:AC208" si="41">$AB$1*AD206</f>
        <v>42.180149999999998</v>
      </c>
      <c r="AD206" s="91">
        <f t="shared" ref="AD206:AD210" si="42">VLOOKUP(AA206,$Z$246:$AJ$508,(5+$AE$1),0)</f>
        <v>42.180149999999998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Listwa końcowa jedwabiście biała</v>
      </c>
      <c r="AC207" s="91">
        <f t="shared" si="41"/>
        <v>84.051220000000001</v>
      </c>
      <c r="AD207" s="91">
        <f t="shared" si="42"/>
        <v>84.051220000000001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Listwa maskująca uni jedwabiście biała</v>
      </c>
      <c r="AC208" s="91">
        <f t="shared" si="41"/>
        <v>45.669879999999999</v>
      </c>
      <c r="AD208" s="91">
        <f t="shared" si="42"/>
        <v>45.669879999999999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Profil maskujący Top jedwabiście biały</v>
      </c>
      <c r="AC209" s="91">
        <f t="shared" ref="AC209:AC240" si="43">$AB$1*AD209</f>
        <v>18.595009999999998</v>
      </c>
      <c r="AD209" s="94">
        <f t="shared" si="42"/>
        <v>18.595009999999998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Ślizgacz 8 mm biały RAL 9010 do listwy końcowej E9</v>
      </c>
      <c r="AC210" s="91">
        <f t="shared" si="43"/>
        <v>8.5023300000000006</v>
      </c>
      <c r="AD210" s="94">
        <f t="shared" si="42"/>
        <v>8.5023300000000006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Róg list.tor. 90 °  Top/Frame</v>
      </c>
      <c r="AC211" s="91">
        <f t="shared" si="43"/>
        <v>6.6591399999999998</v>
      </c>
      <c r="AD211" s="91">
        <f>VLOOKUP(AA211,$Z$246:$AJ$508,(5+$AE$1),0)</f>
        <v>6.6591399999999998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Narożnik lis.tor.na wkr. Biały</v>
      </c>
      <c r="AC220" s="91">
        <f t="shared" si="43"/>
        <v>5.8428699999999996</v>
      </c>
      <c r="AD220" s="91">
        <f>VLOOKUP(AA220,$Z$246:$AJ$508,(5+$AE$1),0)</f>
        <v>5.8428699999999996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Róg list.tor.90 °- 8mm czarny</v>
      </c>
      <c r="AC221" s="91">
        <f t="shared" si="43"/>
        <v>5.2317799999999997</v>
      </c>
      <c r="AD221" s="91">
        <f>VLOOKUP(AA221,$Z$246:$AJ$508,(5+$AE$1),0)</f>
        <v>5.2317799999999997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Profil kryjący Top czereś.Havana</v>
      </c>
      <c r="AC222" s="92">
        <f t="shared" si="43"/>
        <v>19.249739999999999</v>
      </c>
      <c r="AD222" s="91">
        <f>VLOOKUP(AA222,$Z$246:$AJ$508,(5+$AE$1),0)</f>
        <v>19.249739999999999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Profil kryjący Top calvados</v>
      </c>
      <c r="AC223" s="92">
        <f t="shared" si="43"/>
        <v>19.249739999999999</v>
      </c>
      <c r="AD223" s="91">
        <f>VLOOKUP(AA223,$Z$246:$AJ$508,(5+$AE$1),0)</f>
        <v>19.249739999999999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Profil kryjący Top 360L</v>
      </c>
      <c r="AC224" s="92">
        <f t="shared" si="43"/>
        <v>91.980369999999994</v>
      </c>
      <c r="AD224" s="91">
        <f>VLOOKUP(AA224,$Z$246:$AJ$508,(5+$AE$1),0)</f>
        <v>91.980369999999994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462</v>
      </c>
      <c r="AB231" s="179" t="str">
        <f t="shared" ref="AB231:AB237" si="44">VLOOKUP(AA231,$Z$246:$AJ$508,(1+$AE$1),0)</f>
        <v>Listwa końcowa ALU Kombi nierdz 360L</v>
      </c>
      <c r="AC231" s="91">
        <f t="shared" si="43"/>
        <v>224.55905000000001</v>
      </c>
      <c r="AD231" s="91">
        <f t="shared" ref="AD231:AD237" si="45">VLOOKUP(AA231,$Z$246:$AJ$508,(5+$AE$1),0)</f>
        <v>224.55905000000001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Listwa maskująca (profil L) nierdz 360</v>
      </c>
      <c r="AC232" s="91">
        <f t="shared" si="43"/>
        <v>156.99848</v>
      </c>
      <c r="AD232" s="91">
        <f t="shared" si="45"/>
        <v>156.99848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Profil kryjący nierdz 360L</v>
      </c>
      <c r="AC233" s="91">
        <f t="shared" si="43"/>
        <v>115.13282</v>
      </c>
      <c r="AD233" s="91">
        <f t="shared" si="45"/>
        <v>115.13282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Przejście pomiędzy FRAME a mech.C3 czar.</v>
      </c>
      <c r="AC234" s="91">
        <f t="shared" si="43"/>
        <v>7.9179000000000004</v>
      </c>
      <c r="AD234" s="91">
        <f t="shared" si="45"/>
        <v>7.9179000000000004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Zaślepka do toru pionow. R92845 prawa</v>
      </c>
      <c r="AC235" s="91">
        <f t="shared" si="43"/>
        <v>3.1188400000000001</v>
      </c>
      <c r="AD235" s="91">
        <f t="shared" si="45"/>
        <v>3.1188400000000001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Zaślepka do toru pionow. R92846 lewa</v>
      </c>
      <c r="AC236" s="91">
        <f t="shared" si="43"/>
        <v>3.1188400000000001</v>
      </c>
      <c r="AD236" s="91">
        <f t="shared" si="45"/>
        <v>3.1188400000000001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opłata za przygotowanie żaluzji</v>
      </c>
      <c r="AC237" s="91">
        <f>AD237</f>
        <v>40</v>
      </c>
      <c r="AD237" s="91">
        <f t="shared" si="45"/>
        <v>40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Taśma klejąca, 50m w rolce</v>
      </c>
      <c r="AC238" s="91">
        <f t="shared" si="43"/>
        <v>167.18084999999999</v>
      </c>
      <c r="AD238" s="91">
        <f>VLOOKUP(AA238,$Z$246:$AJ$508,(5+$AE$1),0)</f>
        <v>167.18084999999999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Taśma klejąca do przylepienia żaluzji</v>
      </c>
      <c r="AC239" s="91">
        <f t="shared" si="43"/>
        <v>3.3436300000000001</v>
      </c>
      <c r="AD239" s="91">
        <f>VLOOKUP(AA239,$Z$246:$AJ$508,(5+$AE$1),0)</f>
        <v>3.3436300000000001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KOMP.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Ogran.20mm do koń.list.ALU Kombi</v>
      </c>
      <c r="AC242" s="92">
        <f>$AB$1*AD242</f>
        <v>0.86263999999999996</v>
      </c>
      <c r="AD242" s="92">
        <f>VLOOKUP(AA242,$Z$246:$AJ$508,(5+$AE$1),0)</f>
        <v>0.86263999999999996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MB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Rolet. prof. Metal-line 25mm al. 230L</v>
      </c>
      <c r="AC243" s="92">
        <f t="shared" ref="AC243:AC245" si="47">$AB$1*AD243</f>
        <v>25.11983</v>
      </c>
      <c r="AD243" s="92">
        <f t="shared" ref="AD243:AD245" si="48">VLOOKUP(AA243,$Z$246:$AJ$508,(5+$AE$1),0)</f>
        <v>25.11983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PAR.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Rolet. prof. Metal-line 25mm nierdz. 360</v>
      </c>
      <c r="AC244" s="92">
        <f t="shared" si="47"/>
        <v>27.054500000000001</v>
      </c>
      <c r="AD244" s="92">
        <f t="shared" si="48"/>
        <v>27.054500000000001</v>
      </c>
      <c r="AK244">
        <v>1</v>
      </c>
      <c r="AM244" s="172" t="s">
        <v>767</v>
      </c>
      <c r="AN244" t="s">
        <v>643</v>
      </c>
      <c r="AO244" t="str">
        <f>Překlady!A111</f>
        <v>SZT.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Ślizgacz Metallic-line 25mm czarny</v>
      </c>
      <c r="AC245" s="92">
        <f t="shared" si="47"/>
        <v>3.1748099999999999</v>
      </c>
      <c r="AD245" s="92">
        <f t="shared" si="48"/>
        <v>3.1748099999999999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MB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MB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MB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MB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SZT.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MB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MB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MB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MB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MB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MB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MB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MB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MB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MB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MB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MB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SZT.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MB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242">
        <v>134.43099000000001</v>
      </c>
      <c r="AF272" s="175">
        <v>5.48719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MB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PAR.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MB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MB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MB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MB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MB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MB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MB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MB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SZT.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SZT.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SZT.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SZT.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SZT.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SZT.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SZT.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SZT.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SZT.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SZT.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SZT.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SZT.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PAR.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PAR.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PAR.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PAR.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PAR.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PAR.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MB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MB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MB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MB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MB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MB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MB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MB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MB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MB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MB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MB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MB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MB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MB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MB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MB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MB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MB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MB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KOMP.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KOMP.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KOMP.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KOMP.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KOMP.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KOMP.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PAR.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SZT.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SZT.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SZT.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SZT.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SZT.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SZT.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SZT.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SZT.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MB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MB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MB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MB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MB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MB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MB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MB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MB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MB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SZT.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SZT.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SZT.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SZT.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SZT.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SZT.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SZT.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SZT.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SZT.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SZT.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MB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MB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MB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PAR.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PAR.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PAR.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SZT.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SZT.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SZT.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SZT.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SZT.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SZT.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PAR.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PAR.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MB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MB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MB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MB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MB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MB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MB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MB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MB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MB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PAR.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PAR.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PAR.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PAR.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PAR.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PAR.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PAR.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PAR.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MB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PAR.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MB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MB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PAR.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MB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MB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MB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MB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MB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MB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MB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PAR.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PAR.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MB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MB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MB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MB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MB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MB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MB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PAR.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MB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MB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MB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MB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MB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MB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MB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MB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MB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MB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MB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MB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MB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MB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MB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MB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MB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MB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MB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SZT.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SZT.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SZT.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SZT.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MB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MB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SZT.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SZT.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SZT.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SZT.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PAR.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SZT.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SZT.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SZT.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KOMP.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MB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PAR.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SZT.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MB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MB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MB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MB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337">
        <v>10</v>
      </c>
      <c r="AG467" s="174">
        <v>40</v>
      </c>
      <c r="AH467" s="175">
        <v>2800</v>
      </c>
      <c r="AI467" s="174" t="s">
        <v>643</v>
      </c>
      <c r="AJ467" s="174" t="s">
        <v>2057</v>
      </c>
      <c r="AK467" s="174" t="str">
        <f t="shared" si="52"/>
        <v>SZT.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MB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MB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MB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MB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MB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PAR.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PAR.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MB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MB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MB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MB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MB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PAR.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KOMP.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KOMP.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KOMP.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KOMP.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KOMP.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C70:E70"/>
    <mergeCell ref="G70:I70"/>
    <mergeCell ref="AO40:AP40"/>
    <mergeCell ref="AT40:AU40"/>
    <mergeCell ref="AO50:AP50"/>
    <mergeCell ref="AT50:AU50"/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2025-09-08T11:29:46Z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