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16618F3F-5FB5-47D4-853E-F91B10B11340}" xr6:coauthVersionLast="47" xr6:coauthVersionMax="47" xr10:uidLastSave="{00000000-0000-0000-0000-000000000000}"/>
  <workbookProtection workbookAlgorithmName="SHA-512" workbookHashValue="EsYqpT7oE8OGnH5wAmhbSVDz9qLtXKxslmPh9OOFv01oulA4PlOgY5U1ve4SvW+piWUWQ0t/XMkbZzKP4ug26w==" workbookSaltValue="bODFIo9+HC1OfiO8Kkhu5w==" workbookSpinCount="100000" lockStructure="1"/>
  <bookViews>
    <workbookView xWindow="-12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cennik!$A$1:$T$3818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<sst xmlns="http://schemas.openxmlformats.org/spreadsheetml/2006/main" count="21992" uniqueCount="11410">
  <si>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</si>
  <si>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</si>
  <si>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</si>
  <si>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</si>
  <si>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</si>
  <si>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</si>
  <si>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</si>
  <si>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</si>
  <si>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</si>
  <si>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</si>
  <si>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</si>
  <si>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</si>
  <si>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</si>
  <si>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</si>
  <si>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</si>
  <si>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</si>
  <si>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</si>
  <si>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</si>
  <si>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</si>
  <si>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</si>
  <si>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</si>
  <si>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</si>
  <si>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</si>
  <si>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</si>
  <si>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</si>
  <si>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</si>
  <si>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</si>
  <si>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</si>
  <si>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</si>
  <si>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</si>
  <si>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</si>
  <si>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</si>
  <si>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</si>
  <si>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</si>
  <si>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</si>
  <si>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</si>
  <si>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</si>
  <si>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</si>
  <si>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</si>
  <si>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</si>
  <si>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</si>
  <si>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</si>
  <si>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</si>
  <si>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</si>
  <si>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</si>
  <si>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</si>
  <si>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</si>
  <si>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</si>
  <si>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</si>
  <si>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</si>
  <si>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</si>
  <si>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</si>
  <si>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</si>
  <si>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</si>
  <si>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</si>
  <si>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</si>
  <si>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</si>
  <si>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</si>
  <si>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</si>
  <si>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</si>
  <si>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</si>
  <si>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</si>
  <si>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</si>
  <si>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</si>
  <si>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</si>
  <si>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</si>
  <si>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</si>
  <si>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</si>
  <si>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</si>
  <si>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</si>
  <si>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</si>
  <si>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</si>
  <si>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</si>
  <si>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</si>
  <si>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</si>
  <si>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</si>
  <si>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</si>
  <si>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</si>
  <si>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</si>
  <si>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</si>
  <si>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</si>
  <si>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</si>
  <si>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</si>
  <si>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</si>
  <si>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</si>
  <si>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</si>
  <si>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</si>
  <si>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</si>
  <si>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</si>
  <si>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</si>
  <si>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</si>
  <si>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</si>
  <si>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</si>
  <si>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</si>
  <si>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</si>
  <si>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</si>
  <si>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</si>
  <si>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</si>
  <si>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</si>
  <si>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</si>
  <si>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</si>
  <si>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</si>
  <si>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</si>
  <si>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</si>
  <si>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</si>
  <si>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</si>
  <si>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</si>
  <si>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</si>
  <si>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</si>
  <si>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</si>
  <si>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</si>
  <si>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</si>
  <si>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</si>
  <si>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</si>
  <si>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</si>
  <si>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</si>
  <si>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</si>
  <si>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</si>
  <si>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</si>
  <si>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</si>
  <si>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</si>
  <si>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</si>
  <si>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</si>
  <si>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</si>
  <si>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</si>
  <si>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</si>
  <si>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</si>
  <si>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</si>
  <si>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</si>
  <si>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</si>
  <si>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</si>
  <si>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</si>
  <si>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</si>
  <si>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</si>
  <si>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</si>
  <si>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</si>
  <si>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</si>
  <si>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</si>
  <si>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</si>
  <si>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</si>
  <si>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</si>
  <si>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</si>
  <si>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</si>
  <si>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</si>
  <si>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</si>
  <si>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</si>
  <si>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</si>
  <si>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</si>
  <si>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</si>
  <si>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</si>
  <si>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</si>
  <si>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</si>
  <si>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</si>
  <si>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</si>
  <si>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</si>
  <si>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</si>
  <si>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</si>
  <si>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</si>
  <si>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</si>
  <si>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</si>
  <si>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</si>
  <si>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</si>
  <si>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</si>
  <si>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</si>
  <si>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</si>
  <si>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</si>
  <si>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</si>
  <si>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</si>
  <si>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</si>
  <si>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</si>
  <si>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</si>
  <si>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</si>
  <si>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</si>
  <si>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</si>
  <si>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</si>
  <si>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</si>
  <si>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</si>
  <si>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</si>
  <si>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</si>
  <si>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</si>
  <si>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</si>
  <si>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</si>
  <si>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</si>
  <si>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</si>
  <si>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</si>
  <si>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</si>
  <si>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</si>
  <si>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</si>
  <si>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</si>
  <si>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</si>
  <si>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</si>
  <si>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</si>
  <si>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</si>
  <si>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</si>
  <si>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</si>
  <si>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</si>
  <si>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</si>
  <si>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</si>
  <si>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</si>
  <si>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</si>
  <si>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</si>
  <si>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</si>
  <si>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</si>
  <si>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</si>
  <si>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</si>
  <si>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</si>
  <si>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</si>
  <si>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</si>
  <si>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</si>
  <si>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</si>
  <si>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</si>
  <si>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</si>
  <si>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</si>
  <si>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</si>
  <si>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</si>
  <si>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</si>
  <si>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</si>
  <si>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</si>
  <si>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</si>
  <si>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</si>
  <si>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</si>
  <si>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</si>
  <si>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</si>
  <si>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</si>
  <si>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</si>
  <si>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</si>
  <si>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</si>
  <si>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</si>
  <si>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</si>
  <si>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</si>
  <si>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</si>
  <si>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</si>
  <si>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</si>
  <si>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</si>
  <si>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</si>
  <si>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</si>
  <si>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</si>
  <si>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</si>
  <si>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</si>
  <si>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</si>
  <si>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</si>
  <si>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</si>
  <si>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</si>
  <si>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</si>
  <si>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</si>
  <si>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</si>
  <si>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</si>
  <si>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</si>
  <si>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</si>
  <si>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</si>
  <si>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</si>
  <si>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</si>
  <si>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</si>
  <si>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</si>
  <si>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</si>
  <si>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</si>
  <si>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</si>
  <si>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</si>
  <si>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</si>
  <si>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</si>
  <si>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</si>
  <si>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</si>
  <si>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</si>
  <si>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</si>
  <si>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</si>
  <si>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</si>
  <si>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</si>
  <si>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</si>
  <si>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</si>
  <si>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</si>
  <si>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</si>
  <si>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</si>
  <si>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</si>
  <si>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</si>
  <si>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</si>
  <si>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</si>
  <si>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</si>
  <si>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</si>
  <si>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</si>
  <si>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</si>
  <si>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</si>
  <si>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</si>
  <si>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</si>
  <si>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</si>
  <si>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</si>
  <si>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</si>
  <si>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</si>
  <si>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</si>
  <si>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</si>
  <si>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</si>
  <si>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</si>
  <si>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</si>
  <si>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</si>
  <si>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</si>
  <si>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</si>
  <si>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</si>
  <si>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</si>
  <si>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</si>
  <si>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</si>
  <si>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</si>
  <si>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</si>
  <si>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</si>
  <si>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</si>
  <si>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</si>
  <si>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</si>
  <si>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</si>
  <si>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</si>
  <si>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</si>
  <si>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</si>
  <si>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</si>
  <si>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</si>
  <si>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</si>
  <si>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</si>
  <si>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</si>
  <si>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</si>
  <si>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</si>
  <si>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</si>
  <si>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</si>
  <si>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</si>
  <si>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</si>
  <si>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</si>
  <si>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</si>
  <si>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</si>
  <si>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</si>
  <si>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</si>
  <si>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</si>
  <si>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</si>
  <si>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</si>
  <si>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</si>
  <si>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</si>
  <si>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</si>
  <si>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</si>
  <si>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</si>
  <si>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</si>
  <si>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</si>
  <si>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</si>
  <si>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</si>
  <si>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</si>
  <si>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</si>
  <si>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</si>
  <si>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</si>
  <si>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</si>
  <si>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</si>
  <si>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</si>
  <si>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</si>
  <si>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</si>
  <si>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</si>
  <si>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</si>
  <si>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</si>
  <si>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</si>
  <si>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</si>
  <si>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</si>
  <si>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</si>
  <si>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</si>
  <si>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</si>
  <si>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</si>
  <si>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</si>
  <si>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</si>
  <si>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</si>
  <si>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</si>
  <si>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</si>
  <si>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</si>
  <si>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</si>
  <si>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</si>
  <si>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</si>
  <si>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</si>
  <si>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</si>
  <si>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</si>
  <si>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</si>
  <si>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</si>
  <si>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</si>
  <si>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</si>
  <si>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</si>
  <si>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</si>
  <si>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</si>
  <si>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</si>
  <si>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</si>
  <si>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</si>
  <si>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</si>
  <si>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</si>
  <si>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</si>
  <si>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</si>
  <si>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</si>
  <si>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</si>
  <si>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</si>
  <si>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</si>
  <si>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</si>
  <si>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</si>
  <si>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</si>
  <si>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</si>
  <si>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</si>
  <si>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</si>
  <si>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</si>
  <si>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</si>
  <si>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</si>
  <si>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</si>
  <si>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</si>
  <si>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</si>
  <si>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</si>
  <si>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</si>
  <si>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</si>
  <si>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</si>
  <si>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</si>
  <si>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</si>
  <si>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</si>
  <si>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</si>
  <si>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</si>
  <si>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</si>
  <si>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</si>
  <si>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</si>
  <si>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</si>
  <si>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</si>
  <si>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</si>
  <si>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</si>
  <si>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</si>
  <si>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</si>
  <si>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</si>
  <si>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</si>
  <si>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</si>
  <si>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</si>
  <si>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</si>
  <si>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</si>
  <si>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</si>
  <si>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</si>
  <si>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</si>
  <si>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</si>
  <si>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</si>
  <si>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</si>
  <si>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</si>
  <si>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</si>
  <si>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</si>
  <si>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</si>
  <si>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</si>
  <si>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</si>
  <si>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</si>
  <si>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</si>
  <si>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</si>
  <si>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</si>
  <si>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</si>
  <si>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</si>
  <si>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</si>
  <si>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</si>
  <si>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</si>
  <si>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</si>
  <si>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</si>
  <si>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</si>
  <si>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</si>
  <si>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</si>
  <si>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</si>
  <si>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</si>
  <si>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</si>
  <si>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</si>
  <si>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</si>
  <si>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</si>
  <si>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</si>
  <si>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</si>
  <si>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</si>
  <si>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</si>
  <si>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</si>
  <si>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</si>
  <si>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</si>
  <si>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</si>
  <si>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</si>
  <si>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</si>
  <si>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</si>
  <si>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</si>
  <si>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</si>
  <si>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</si>
  <si>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</si>
  <si>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</si>
  <si>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</si>
  <si>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</si>
  <si>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</si>
  <si>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</si>
  <si>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</si>
  <si>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</si>
  <si>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</si>
  <si>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</si>
  <si>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</si>
  <si>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</si>
  <si>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</si>
  <si>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</si>
  <si>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</si>
  <si>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</si>
  <si>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</si>
  <si>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</si>
  <si>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</si>
  <si>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</si>
  <si>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</si>
  <si>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</si>
  <si>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</si>
  <si>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</si>
  <si>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</si>
  <si>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</si>
  <si>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</si>
  <si>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</si>
  <si>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</si>
  <si>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</si>
  <si>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</si>
  <si>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</si>
  <si>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</si>
  <si>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</si>
  <si>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</si>
  <si>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</si>
  <si>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</si>
  <si>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</si>
  <si>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</si>
  <si>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</si>
  <si>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</si>
  <si>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</si>
  <si>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</si>
  <si>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</si>
  <si>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</si>
  <si>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</si>
  <si>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</si>
  <si>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</si>
  <si>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</si>
  <si>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</si>
  <si>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</si>
  <si>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</si>
  <si>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</si>
  <si>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</si>
  <si>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</si>
  <si>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</si>
  <si>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</si>
  <si>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</si>
  <si>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</si>
  <si>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</si>
  <si>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</si>
  <si>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</si>
  <si>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</si>
  <si>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</si>
  <si>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</si>
  <si>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</si>
  <si>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</si>
  <si>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</si>
  <si>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</si>
  <si>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</si>
  <si>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</si>
  <si>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</si>
  <si>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</si>
  <si>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</si>
  <si>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</si>
  <si>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</si>
  <si>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</si>
  <si>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</si>
  <si>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</si>
  <si>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</si>
  <si>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</si>
  <si>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</si>
  <si>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</si>
  <si>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</si>
  <si>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</si>
  <si>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</si>
  <si>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</si>
  <si>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</si>
  <si>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</si>
  <si>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</si>
  <si>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</si>
  <si>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</si>
  <si>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</si>
  <si>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</si>
  <si>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</si>
  <si>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</si>
  <si>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</si>
  <si>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</si>
  <si>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</si>
  <si>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</si>
  <si>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</si>
  <si>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</si>
  <si>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</si>
  <si>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</si>
  <si>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</si>
  <si>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</si>
  <si>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</si>
  <si>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</si>
  <si>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</si>
  <si>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</si>
  <si>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</si>
  <si>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</si>
  <si>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</si>
  <si>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</si>
  <si>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</si>
  <si>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</si>
  <si>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</si>
  <si>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</si>
  <si>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</si>
  <si>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</si>
  <si>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</si>
  <si>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</si>
  <si>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</si>
  <si>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</si>
  <si>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</si>
  <si>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</si>
  <si>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</si>
  <si>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</si>
  <si>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</si>
  <si>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</si>
  <si>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</si>
  <si>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</si>
  <si>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</si>
  <si>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</si>
  <si>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</si>
  <si>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</si>
  <si>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</si>
  <si>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</si>
  <si>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</si>
  <si>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</si>
  <si>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</si>
  <si>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</si>
  <si>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</si>
  <si>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</si>
  <si>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</si>
  <si>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</si>
  <si>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</si>
  <si>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</si>
  <si>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</si>
  <si>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</si>
  <si>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</si>
  <si>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</si>
  <si>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</si>
  <si>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</si>
  <si>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</si>
  <si>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</si>
  <si>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</si>
  <si>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</si>
  <si>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</si>
  <si>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</si>
  <si>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</si>
  <si>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</si>
  <si>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</si>
  <si>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</si>
  <si>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</si>
  <si>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</si>
  <si>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</si>
  <si>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</si>
  <si>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</si>
  <si>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</si>
  <si>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</si>
  <si>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</si>
  <si>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</si>
  <si>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</si>
  <si>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</si>
  <si>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</si>
  <si>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</si>
  <si>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</si>
  <si>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</si>
  <si>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</si>
  <si>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</si>
  <si>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</si>
  <si>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</si>
  <si>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</si>
  <si>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</si>
  <si>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</si>
  <si>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</si>
  <si>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</si>
  <si>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</si>
  <si>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</si>
  <si>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</si>
  <si>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</si>
  <si>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</si>
  <si>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</si>
  <si>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</si>
  <si>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</si>
  <si>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</si>
  <si>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</si>
  <si>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</si>
  <si>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</si>
  <si>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</si>
  <si>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</si>
  <si>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</si>
  <si>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</si>
  <si>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</si>
  <si>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</si>
  <si>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</si>
  <si>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</si>
  <si>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</si>
  <si>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</si>
  <si>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</si>
  <si>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</si>
  <si>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</si>
  <si>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</si>
  <si>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</si>
  <si>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</si>
  <si>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</si>
  <si>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</si>
  <si>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</si>
  <si>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</si>
  <si>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</si>
  <si>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</si>
  <si>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</si>
  <si>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</si>
  <si>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</si>
  <si>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</si>
  <si>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</si>
  <si>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</si>
  <si>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</si>
  <si>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</si>
  <si>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</si>
  <si>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</si>
  <si>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</si>
  <si>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</si>
  <si>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</si>
  <si>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</si>
  <si>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</si>
  <si>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</si>
  <si>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</si>
  <si>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</si>
  <si>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</si>
  <si>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</si>
  <si>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</si>
  <si>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</si>
  <si>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</si>
  <si>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</si>
  <si>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</si>
  <si>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</si>
  <si>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</si>
  <si>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</si>
  <si>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</si>
  <si>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</si>
  <si>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</si>
  <si>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</si>
  <si>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</si>
  <si>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</si>
  <si>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</si>
  <si>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</si>
  <si>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</si>
  <si>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</si>
  <si>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</si>
  <si>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</si>
  <si>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</si>
  <si>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</si>
  <si>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</si>
  <si>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</si>
  <si>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</si>
  <si>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</si>
  <si>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</si>
  <si>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</si>
  <si>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</si>
  <si>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</si>
  <si>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</si>
  <si>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</si>
  <si>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</si>
  <si>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</si>
  <si>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</si>
  <si>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</si>
  <si>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</si>
  <si>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</si>
  <si>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</si>
  <si>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</si>
  <si>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</si>
  <si>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</si>
  <si>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</si>
  <si>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</si>
  <si>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</si>
  <si>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</si>
  <si>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</si>
  <si>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</si>
  <si>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</si>
  <si>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</si>
  <si>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</si>
  <si>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</si>
  <si>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</si>
  <si>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</si>
  <si>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</si>
  <si>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</si>
  <si>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</si>
  <si>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</si>
  <si>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</si>
  <si>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</si>
  <si>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</si>
  <si>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</si>
  <si>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</si>
  <si>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</si>
  <si>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</si>
  <si>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</si>
  <si>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</si>
  <si>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</si>
  <si>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</si>
  <si>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</si>
  <si>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</si>
  <si>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</si>
  <si>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</si>
  <si>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</si>
  <si>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</si>
  <si>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</si>
  <si>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</si>
  <si>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</si>
  <si>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</si>
  <si>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</si>
  <si>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</si>
  <si>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</si>
  <si>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</si>
  <si>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</si>
  <si>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</si>
  <si>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</si>
  <si>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</si>
  <si>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</si>
  <si>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</si>
  <si>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</si>
  <si>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</si>
  <si>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</si>
  <si>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</si>
  <si>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</si>
  <si>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</si>
  <si>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</si>
  <si>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</si>
  <si>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</si>
  <si>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</si>
  <si>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</si>
  <si>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</si>
  <si>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</si>
  <si>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</si>
  <si>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</si>
  <si>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</si>
  <si>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</si>
  <si>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</si>
  <si>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</si>
  <si>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</si>
  <si>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</si>
  <si>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</si>
  <si>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</si>
  <si>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</si>
  <si>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</si>
  <si>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</si>
  <si>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</si>
  <si>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</si>
  <si>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</si>
  <si>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</si>
  <si>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</si>
  <si>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</si>
  <si>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</si>
  <si>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</si>
  <si>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</si>
  <si>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</si>
  <si>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</si>
  <si>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</si>
  <si>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</si>
  <si>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</si>
  <si>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</si>
  <si>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</si>
  <si>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</si>
  <si>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</si>
  <si>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</si>
  <si>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</si>
  <si>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</si>
  <si>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</si>
  <si>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</si>
  <si>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</si>
  <si>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</si>
  <si>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</si>
  <si>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</si>
  <si>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</si>
  <si>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</si>
  <si>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</si>
  <si>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</si>
  <si>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</si>
  <si>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</si>
  <si>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</si>
  <si>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</si>
  <si>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</si>
  <si>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</si>
  <si>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</si>
  <si>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</si>
  <si>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</si>
  <si>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</si>
  <si>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</si>
  <si>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</si>
  <si>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</si>
  <si>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</si>
  <si>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</si>
  <si>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</si>
  <si>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</si>
  <si>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</si>
  <si>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</si>
  <si>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</si>
  <si>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</si>
  <si>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</si>
  <si>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</si>
  <si>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</si>
  <si>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</si>
  <si>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</si>
  <si>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</si>
  <si>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</si>
  <si>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</si>
  <si>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</si>
  <si>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</si>
  <si>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</si>
  <si>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</si>
  <si>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</si>
  <si>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</si>
  <si>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</si>
  <si>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</si>
  <si>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</si>
  <si>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</si>
  <si>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</si>
  <si>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</si>
  <si>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</si>
  <si>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</si>
  <si>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</si>
  <si>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</si>
  <si>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</si>
  <si>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</si>
  <si>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</si>
  <si>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</si>
  <si>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</si>
  <si>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</si>
  <si>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</si>
  <si>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</si>
  <si>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</si>
  <si>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</si>
  <si>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</si>
  <si>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</si>
  <si>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</si>
  <si>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</si>
  <si>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</si>
  <si>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</si>
  <si>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</si>
  <si>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</si>
  <si>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</si>
  <si>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</si>
  <si>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</si>
  <si>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</si>
  <si>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</si>
  <si>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</si>
  <si>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</si>
  <si>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</si>
  <si>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</si>
  <si>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</si>
  <si>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</si>
  <si>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</si>
  <si>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</si>
  <si>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</si>
  <si>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</si>
  <si>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</si>
  <si>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</si>
  <si>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</si>
  <si>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</si>
  <si>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</si>
  <si>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</si>
  <si>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</si>
  <si>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</si>
  <si>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</si>
  <si>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</si>
  <si>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</si>
  <si>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</si>
  <si>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</si>
  <si>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</si>
  <si>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</si>
  <si>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</si>
  <si>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</si>
  <si>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</si>
  <si>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</si>
  <si>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</si>
  <si>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</si>
  <si>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</si>
  <si>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</si>
  <si>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</si>
  <si>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</si>
  <si>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</si>
  <si>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</si>
  <si>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</si>
  <si>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</si>
  <si>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</si>
  <si>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</si>
  <si>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</si>
  <si>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</si>
  <si>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</si>
  <si>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</si>
  <si>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</si>
  <si>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</si>
  <si>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</si>
  <si>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</si>
  <si>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</si>
  <si>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</si>
  <si>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</si>
  <si>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</si>
  <si>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</si>
  <si>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</si>
  <si>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</si>
  <si>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</si>
  <si>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</si>
  <si>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</si>
  <si>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</si>
  <si>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</si>
  <si>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</si>
  <si>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</si>
  <si>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</si>
  <si>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</si>
  <si>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</si>
  <si>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</si>
  <si>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</si>
  <si>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</si>
  <si>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</si>
  <si>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</si>
  <si>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</si>
  <si>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</si>
  <si>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</si>
  <si>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</si>
  <si>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</si>
  <si>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</si>
  <si>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</si>
  <si>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</si>
  <si>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</si>
  <si>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</si>
  <si>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</si>
  <si>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</si>
  <si>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</si>
  <si>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</si>
  <si>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</si>
  <si>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</si>
  <si>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</si>
  <si>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</si>
  <si>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</si>
  <si>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</si>
  <si>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</si>
  <si>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</si>
  <si>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</si>
  <si>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</si>
  <si>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</si>
  <si>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</si>
  <si>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</si>
  <si>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</si>
  <si>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</si>
  <si>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</si>
  <si>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</si>
  <si>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</si>
  <si>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</si>
  <si>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</si>
  <si>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</si>
  <si>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</si>
  <si>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</si>
  <si>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</si>
  <si>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</si>
  <si>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</si>
  <si>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</si>
  <si>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</si>
  <si>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</si>
  <si>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</si>
  <si>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</si>
  <si>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</si>
  <si>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</si>
  <si>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</si>
  <si>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</si>
  <si>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</si>
  <si>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</si>
  <si>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</si>
  <si>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</si>
  <si>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</si>
  <si>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</si>
  <si>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</si>
  <si>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</si>
  <si>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</si>
  <si>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</si>
  <si>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</si>
  <si>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</si>
  <si>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</si>
  <si>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</si>
  <si>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</si>
  <si>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</si>
  <si>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</si>
  <si>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</si>
  <si>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</si>
  <si>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</si>
  <si>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</si>
  <si>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</si>
  <si>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</si>
  <si>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</si>
  <si>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</si>
  <si>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</si>
  <si>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</si>
  <si>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</si>
  <si>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</si>
  <si>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</si>
  <si>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</si>
  <si>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</si>
  <si>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</si>
  <si>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</si>
  <si>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</si>
  <si>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</si>
  <si>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</si>
  <si>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</si>
  <si>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</si>
  <si>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</si>
  <si>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</si>
  <si>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</si>
  <si>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</si>
  <si>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</si>
  <si>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</si>
  <si>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</si>
  <si>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</si>
  <si>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</si>
  <si>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</si>
  <si>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</si>
  <si>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</si>
  <si>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</si>
  <si>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</si>
  <si>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</si>
  <si>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</si>
  <si>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</si>
  <si>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</si>
  <si>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</si>
  <si>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</si>
  <si>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</si>
  <si>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</si>
  <si>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</si>
  <si>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</si>
  <si>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</si>
  <si>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</si>
  <si>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</si>
  <si>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</si>
  <si>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</si>
  <si>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</si>
  <si>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</si>
  <si>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</si>
  <si>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</si>
  <si>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</si>
  <si>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</si>
  <si>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</si>
  <si>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</si>
  <si>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</si>
  <si>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</si>
  <si>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</si>
  <si>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</si>
  <si>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</si>
  <si>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</si>
  <si>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</si>
  <si>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</si>
  <si>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</si>
  <si>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</si>
  <si>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</si>
  <si>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</si>
  <si>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</si>
  <si>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</si>
  <si>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</si>
  <si>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</si>
  <si>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</si>
  <si>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</si>
  <si>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</si>
  <si>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</si>
  <si>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</si>
  <si>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</si>
  <si>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</si>
  <si>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</si>
  <si>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</si>
  <si>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</si>
  <si>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</si>
  <si>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</si>
  <si>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</si>
  <si>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</si>
  <si>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</si>
  <si>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</si>
  <si>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</si>
  <si>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</si>
  <si>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</si>
  <si>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</si>
  <si>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</si>
  <si>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</si>
  <si>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</si>
  <si>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</si>
  <si>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</si>
  <si>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</si>
  <si>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</si>
  <si>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</si>
  <si>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</si>
  <si>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</si>
  <si>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</si>
  <si>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</si>
  <si>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</si>
  <si>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</si>
  <si>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</si>
  <si>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</si>
  <si>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</si>
  <si>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</si>
  <si>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</si>
  <si>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</si>
  <si>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</si>
  <si>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</si>
  <si>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</si>
  <si>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</si>
  <si>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</si>
  <si>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</si>
  <si>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</si>
  <si>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</si>
  <si>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</si>
  <si>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</si>
  <si>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</si>
  <si>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</si>
  <si>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</si>
  <si>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</si>
  <si>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</si>
  <si>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</si>
  <si>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</si>
  <si>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</si>
  <si>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</si>
  <si>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</si>
  <si>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</si>
  <si>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</si>
  <si>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</si>
  <si>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</si>
  <si>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</si>
  <si>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</si>
  <si>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</si>
  <si>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</si>
  <si>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</si>
  <si>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</si>
  <si>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</si>
  <si>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</si>
  <si>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</si>
  <si>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</si>
  <si>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</si>
  <si>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</si>
  <si>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</si>
  <si>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</si>
  <si>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</si>
  <si>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</si>
  <si>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</si>
  <si>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</si>
  <si>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</si>
  <si>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</si>
  <si>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</si>
  <si>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</si>
  <si>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</si>
  <si>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</si>
  <si>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</si>
  <si>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</si>
  <si>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</si>
  <si>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</si>
  <si>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</si>
  <si>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</si>
  <si>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</si>
  <si>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</si>
  <si>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</si>
  <si>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</si>
  <si>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</si>
  <si>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</si>
  <si>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</si>
  <si>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</si>
  <si>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</si>
  <si>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</si>
  <si>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</si>
  <si>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</si>
  <si>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</si>
  <si>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</si>
  <si>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</si>
  <si>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</si>
  <si>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</si>
  <si>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</si>
  <si>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</si>
  <si>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</si>
  <si>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</si>
  <si>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</si>
  <si>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</si>
  <si>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</si>
  <si>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</si>
  <si>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</si>
  <si>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</si>
  <si>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</si>
  <si>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</si>
  <si>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</si>
  <si>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</si>
  <si>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</si>
  <si>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</si>
  <si>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</si>
  <si>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</si>
  <si>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</si>
  <si>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</si>
  <si>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</si>
  <si>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</si>
  <si>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</si>
  <si>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</si>
  <si>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</si>
  <si>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</si>
  <si>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</si>
  <si>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</si>
  <si>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</si>
  <si>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</si>
  <si>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</si>
  <si>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</si>
  <si>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</si>
  <si>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</si>
  <si>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</si>
  <si>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</si>
  <si>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</si>
  <si>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</si>
  <si>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</si>
  <si>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</si>
  <si>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</si>
  <si>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</si>
  <si>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</si>
  <si>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</si>
  <si>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</si>
  <si>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</si>
  <si>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</si>
  <si>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</si>
  <si>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</si>
  <si>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</si>
  <si>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</si>
  <si>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</si>
  <si>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</si>
  <si>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</si>
  <si>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</si>
  <si>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</si>
  <si>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</si>
  <si>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</si>
  <si>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</si>
  <si>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</si>
  <si>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</si>
  <si>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</si>
  <si>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</si>
  <si>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</si>
  <si>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</si>
  <si>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</si>
  <si>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</si>
  <si>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</si>
  <si>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</si>
  <si>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</si>
  <si>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</si>
  <si>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</si>
  <si>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</si>
  <si>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</si>
  <si>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</si>
  <si>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</si>
  <si>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</si>
  <si>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</si>
  <si>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</si>
  <si>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</si>
  <si>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</si>
  <si>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</si>
  <si>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</si>
  <si>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</si>
  <si>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</si>
  <si>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</si>
  <si>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</si>
  <si>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</si>
  <si>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</si>
  <si>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</si>
  <si>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</si>
  <si>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</si>
  <si>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</si>
  <si>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</si>
  <si>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</si>
  <si>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</si>
  <si>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</si>
  <si>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</si>
  <si>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</si>
  <si>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</si>
  <si>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</si>
  <si>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</si>
  <si>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</si>
  <si>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</si>
  <si>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</si>
  <si>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</si>
  <si>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</si>
  <si>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</si>
  <si>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</si>
  <si>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</si>
  <si>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</si>
  <si>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</si>
  <si>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</si>
  <si>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</si>
  <si>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</si>
  <si>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</si>
  <si>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</si>
  <si>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</si>
  <si>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</si>
  <si>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</si>
  <si>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</si>
  <si>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</si>
  <si>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</si>
  <si>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</si>
  <si>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</si>
  <si>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</si>
  <si>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</si>
  <si>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</si>
  <si>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</si>
  <si>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</si>
  <si>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</si>
  <si>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</si>
  <si>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</si>
  <si>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</si>
  <si>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</si>
  <si>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</si>
  <si>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</si>
  <si>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</si>
  <si>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</si>
  <si>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</si>
  <si>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</si>
  <si>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</si>
  <si>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</si>
  <si>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</si>
  <si>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</si>
  <si>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</si>
  <si>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</si>
  <si>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</si>
  <si>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</si>
  <si>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</si>
  <si>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</si>
  <si>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</si>
  <si>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</si>
  <si>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</si>
  <si>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</si>
  <si>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</si>
  <si>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</si>
  <si>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</si>
  <si>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</si>
  <si>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</si>
  <si>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</si>
  <si>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</si>
  <si>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</si>
  <si>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</si>
  <si>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</si>
  <si>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</si>
  <si>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</si>
  <si>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</si>
  <si>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</si>
  <si>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</si>
  <si>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</si>
  <si>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</si>
  <si>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</si>
  <si>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</si>
  <si>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</si>
  <si>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</si>
  <si>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</si>
  <si>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</si>
  <si>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</si>
  <si>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</si>
  <si>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</si>
  <si>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</si>
  <si>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</si>
  <si>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</si>
  <si>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</si>
  <si>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</si>
  <si>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</si>
  <si>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</si>
  <si>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</si>
  <si>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</si>
  <si>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</si>
  <si>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</si>
  <si>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</si>
  <si>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</si>
  <si>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</si>
  <si>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</si>
  <si>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</si>
  <si>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</si>
  <si>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</si>
  <si>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</si>
  <si>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</si>
  <si>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</si>
  <si>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</si>
  <si>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</si>
  <si>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</si>
  <si>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</si>
  <si>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</si>
  <si>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</si>
  <si>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</si>
  <si>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</si>
  <si>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</si>
  <si>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</si>
  <si>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</si>
  <si>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</si>
  <si>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</si>
  <si>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</si>
  <si>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</si>
  <si>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</si>
  <si>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</si>
  <si>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</si>
  <si>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</si>
  <si>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</si>
  <si>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</si>
  <si>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</si>
  <si>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</si>
  <si>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</si>
  <si>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</si>
  <si>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</si>
  <si>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</si>
  <si>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</si>
  <si>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</si>
  <si>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</si>
  <si>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</si>
  <si>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</si>
  <si>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</si>
  <si>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</si>
  <si>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</si>
  <si>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</si>
  <si>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</si>
  <si>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</si>
  <si>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</si>
  <si>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</si>
  <si>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</si>
  <si>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</si>
  <si>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</si>
  <si>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</si>
  <si>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</si>
  <si>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</si>
  <si>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</si>
  <si>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</si>
  <si>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</si>
  <si>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</si>
  <si>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</si>
  <si>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</si>
  <si>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</si>
  <si>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</si>
  <si>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</si>
  <si>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</si>
  <si>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</si>
  <si>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</si>
  <si>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</si>
  <si>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</si>
  <si>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</si>
  <si>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</si>
  <si>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</si>
  <si>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</si>
  <si>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</si>
  <si>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</si>
  <si>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</si>
  <si>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</si>
  <si>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</si>
  <si>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</si>
  <si>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</si>
  <si>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</si>
  <si>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</si>
  <si>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</si>
  <si>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</si>
  <si>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</si>
  <si>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</si>
  <si>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</si>
  <si>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</si>
  <si>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</si>
  <si>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</si>
  <si>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</si>
  <si>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</si>
  <si>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</si>
  <si>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</si>
  <si>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</si>
  <si>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</si>
  <si>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</si>
  <si>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</si>
  <si>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</si>
  <si>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</si>
  <si>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</si>
  <si>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</si>
  <si>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</si>
  <si>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</si>
  <si>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</si>
  <si>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</si>
  <si>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</si>
  <si>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</si>
  <si>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</si>
  <si>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</si>
  <si>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</si>
  <si>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</si>
  <si>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</si>
  <si>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</si>
  <si>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</si>
  <si>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</si>
  <si>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</si>
  <si>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</si>
  <si>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</si>
  <si>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</si>
  <si>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</si>
  <si>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</si>
  <si>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</si>
  <si>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</si>
  <si>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</si>
  <si>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</si>
  <si>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</si>
  <si>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</si>
  <si>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</si>
  <si>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</si>
  <si>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</si>
  <si>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</si>
  <si>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</si>
  <si>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</si>
  <si>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</si>
  <si>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</si>
  <si>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</si>
  <si>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</si>
  <si>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</si>
  <si>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</si>
  <si>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</si>
  <si>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</si>
  <si>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</si>
  <si>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</si>
  <si>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</si>
  <si>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</si>
  <si>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</si>
  <si>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</si>
  <si>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</si>
  <si>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</si>
  <si>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</si>
  <si>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</si>
  <si>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</si>
  <si>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</si>
  <si>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</si>
  <si>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</si>
  <si>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</si>
  <si>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</si>
  <si>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</si>
  <si>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</si>
  <si>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</si>
  <si>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</si>
  <si>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</si>
  <si>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</si>
  <si>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</si>
  <si>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</si>
  <si>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</si>
  <si>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</si>
  <si>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</si>
  <si>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</si>
  <si>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</si>
  <si>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</si>
  <si>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</si>
  <si>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</si>
  <si>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</si>
  <si>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</si>
  <si>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</si>
  <si>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</si>
  <si>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</si>
  <si>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</si>
  <si>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</si>
  <si>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</si>
  <si>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</si>
  <si>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</si>
  <si>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</si>
  <si>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</si>
  <si>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</si>
  <si>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</si>
  <si>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</si>
  <si>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</si>
  <si>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</si>
  <si>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</si>
  <si>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</si>
  <si>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</si>
  <si>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</si>
  <si>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</si>
  <si>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</si>
  <si>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</si>
  <si>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</si>
  <si>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</si>
  <si>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</si>
  <si>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</si>
  <si>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</si>
  <si>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</si>
  <si>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</si>
  <si>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</si>
  <si>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</si>
  <si>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</si>
  <si>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</si>
  <si>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</si>
  <si>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</si>
  <si>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</si>
  <si>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</si>
  <si>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</si>
  <si>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</si>
  <si>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</si>
  <si>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</si>
  <si>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</si>
  <si>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</si>
  <si>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</si>
  <si>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</si>
  <si>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</si>
  <si>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</si>
  <si>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</si>
  <si>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</si>
  <si>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</si>
  <si>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</si>
  <si>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</si>
  <si>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</si>
  <si>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</si>
  <si>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</si>
  <si>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</si>
  <si>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</si>
  <si>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</si>
  <si>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</si>
  <si>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</si>
  <si>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</si>
  <si>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</si>
  <si>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</si>
  <si>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</si>
  <si>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</si>
  <si>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</si>
  <si>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</si>
  <si>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</si>
  <si>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</si>
  <si>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</si>
  <si>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</si>
  <si>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</si>
  <si>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</si>
  <si>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</si>
  <si>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</si>
  <si>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</si>
  <si>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</si>
  <si>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</si>
  <si>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</si>
  <si>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</si>
  <si>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</si>
  <si>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</si>
  <si>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</si>
  <si>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</si>
  <si>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</si>
  <si>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</si>
  <si>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</si>
  <si>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</si>
  <si>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</si>
  <si>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</si>
  <si>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</si>
  <si>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</si>
  <si>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</si>
  <si>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</si>
  <si>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</si>
  <si>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</si>
  <si>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</si>
  <si>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</si>
  <si>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</si>
  <si>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</si>
  <si>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</si>
  <si>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</si>
  <si>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</si>
  <si>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</si>
  <si>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</si>
  <si>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</si>
  <si>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</si>
  <si>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</si>
  <si>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</si>
  <si>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</si>
  <si>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</si>
  <si>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</si>
  <si>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</si>
  <si>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</si>
  <si>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</si>
  <si>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</si>
  <si>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</si>
  <si>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</si>
  <si>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</si>
  <si>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</si>
  <si>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</si>
  <si>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</si>
  <si>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</si>
  <si>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</si>
  <si>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</si>
  <si>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</si>
  <si>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</si>
  <si>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</si>
  <si>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</si>
  <si>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</si>
  <si>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</si>
  <si>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</si>
  <si>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</si>
  <si>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</si>
  <si>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</si>
  <si>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</si>
  <si>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</si>
  <si>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</si>
  <si>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</si>
  <si>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</si>
  <si>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</si>
  <si>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</si>
  <si>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</si>
  <si>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</si>
  <si>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</si>
  <si>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</si>
  <si>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</si>
  <si>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</si>
  <si>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</si>
  <si>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</si>
  <si>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</si>
  <si>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</si>
  <si>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</si>
  <si>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</si>
  <si>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</si>
  <si>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</si>
  <si>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</si>
  <si>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</si>
  <si>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</si>
  <si>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</si>
  <si>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</si>
  <si>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</si>
  <si>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</si>
  <si>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</si>
  <si>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</si>
  <si>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</si>
  <si>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</si>
  <si>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</si>
  <si>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</si>
  <si>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</si>
  <si>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</si>
  <si>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</si>
  <si>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</si>
  <si>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</si>
  <si>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</si>
  <si>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</si>
  <si>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</si>
  <si>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</si>
  <si>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</si>
  <si>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</si>
  <si>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</si>
  <si>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</si>
  <si>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</si>
  <si>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</si>
  <si>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</si>
  <si>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</si>
  <si>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</si>
  <si>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</si>
  <si>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</si>
  <si>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</si>
  <si>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</si>
  <si>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</si>
  <si>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</si>
  <si>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</si>
  <si>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</si>
  <si>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</si>
  <si>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</si>
  <si>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</si>
  <si>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</si>
  <si>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</si>
  <si>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</si>
  <si>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</si>
  <si>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</si>
  <si>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</si>
  <si>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</si>
  <si>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</si>
  <si>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</si>
  <si>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</si>
  <si>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</si>
  <si>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</si>
  <si>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</si>
  <si>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</si>
  <si>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</si>
  <si>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</si>
  <si>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</si>
  <si>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</si>
  <si>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</si>
  <si>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</si>
  <si>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</si>
  <si>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</si>
  <si>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</si>
  <si>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</si>
  <si>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</si>
  <si>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</si>
  <si>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</si>
  <si>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</si>
  <si>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</si>
  <si>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</si>
  <si>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</si>
  <si>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</si>
  <si>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</si>
  <si>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</si>
  <si>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</si>
  <si>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</si>
  <si>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</si>
  <si>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</si>
  <si>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</si>
  <si>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</si>
  <si>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</si>
  <si>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</si>
  <si>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</si>
  <si>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</si>
  <si>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</si>
  <si>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</si>
  <si>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</si>
  <si>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</si>
  <si>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</si>
  <si>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</si>
  <si>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</si>
  <si>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</si>
  <si>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</si>
  <si>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</si>
  <si>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</si>
  <si>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</si>
  <si>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</si>
  <si>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</si>
  <si>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</si>
  <si>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</si>
  <si>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</si>
  <si>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</si>
  <si>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</si>
  <si>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</si>
  <si>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</si>
  <si>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</si>
  <si>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</si>
  <si>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</si>
  <si>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</si>
  <si>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</si>
  <si>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</si>
  <si>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</si>
  <si>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</si>
  <si>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</si>
  <si>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</si>
  <si>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</si>
  <si>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</si>
  <si>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</si>
  <si>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</si>
  <si>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</si>
  <si>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</si>
  <si>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</si>
  <si>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</si>
  <si>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</si>
  <si>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</si>
  <si>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</si>
  <si>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</si>
  <si>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</si>
  <si>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</si>
  <si>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</si>
  <si>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</si>
  <si>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</si>
  <si>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</si>
  <si>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</si>
  <si>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</si>
  <si>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</si>
  <si>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</si>
  <si>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</si>
  <si>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</si>
  <si>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</si>
  <si>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</si>
  <si>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</si>
  <si>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</si>
  <si>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</si>
  <si>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</si>
  <si>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</si>
  <si>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</si>
  <si>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</si>
  <si>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</si>
  <si>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</si>
  <si>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</si>
  <si>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</si>
  <si>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</si>
  <si>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</si>
  <si>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</si>
  <si>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</si>
  <si>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</si>
  <si>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</si>
  <si>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</si>
  <si>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</si>
  <si>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</si>
  <si>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</si>
  <si>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</si>
  <si>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</si>
  <si>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</si>
  <si>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</si>
  <si>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</si>
  <si>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</si>
  <si>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</si>
  <si>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</si>
  <si>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</si>
  <si>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</si>
  <si>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</si>
  <si>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</si>
  <si>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</si>
  <si>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</si>
  <si>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</si>
  <si>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</si>
  <si>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</si>
  <si>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</si>
  <si>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</si>
  <si>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</si>
  <si>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</si>
  <si>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</si>
  <si>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</si>
  <si>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</si>
  <si>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</si>
  <si>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</si>
  <si>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</si>
  <si>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</si>
  <si>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</si>
  <si>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</si>
  <si>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</si>
  <si>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</si>
  <si>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</si>
  <si>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</si>
  <si>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</si>
  <si>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</si>
  <si>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</si>
  <si>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</si>
  <si>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</si>
  <si>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</si>
  <si>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</si>
  <si>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</si>
  <si>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</si>
  <si>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</si>
  <si>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</si>
  <si>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</si>
  <si>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</si>
  <si>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</si>
  <si>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</si>
  <si>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</si>
  <si>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</si>
  <si>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</si>
  <si>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</si>
  <si>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</si>
  <si>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</si>
  <si>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</si>
  <si>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</si>
  <si>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</si>
  <si>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</si>
  <si>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</si>
  <si>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</si>
  <si>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</si>
  <si>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</si>
  <si>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</si>
  <si>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</si>
  <si>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</si>
  <si>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</si>
  <si>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</si>
  <si>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</si>
  <si>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</si>
  <si>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</si>
  <si>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</si>
  <si>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</si>
  <si>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</si>
  <si>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</si>
  <si>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</si>
  <si>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</si>
  <si>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</si>
  <si>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</si>
  <si>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</si>
  <si>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</si>
  <si>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</si>
  <si>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</si>
  <si>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</si>
  <si>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</si>
  <si>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</si>
  <si>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</si>
  <si>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</si>
  <si>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</si>
  <si>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</si>
  <si>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</si>
  <si>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</si>
  <si>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</si>
  <si>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</si>
  <si>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</si>
  <si>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</si>
  <si>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</si>
  <si>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</si>
  <si>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</si>
  <si>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</si>
  <si>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</si>
  <si>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</si>
  <si>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</si>
  <si>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</si>
  <si>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</si>
  <si>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</si>
  <si>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</si>
  <si>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</si>
  <si>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</si>
  <si>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</si>
  <si>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</si>
  <si>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</si>
  <si>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</si>
  <si>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</si>
  <si>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</si>
  <si>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</si>
  <si>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</si>
  <si>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</si>
  <si>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</si>
  <si>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</si>
  <si>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</si>
  <si>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</si>
  <si>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</si>
  <si>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</si>
  <si>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</si>
  <si>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</si>
  <si>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</si>
  <si>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</si>
  <si>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</si>
  <si>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</si>
  <si>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</si>
  <si>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</si>
  <si>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</si>
  <si>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</si>
  <si>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</si>
  <si>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</si>
  <si>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</si>
  <si>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</si>
  <si>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</si>
  <si>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</si>
  <si>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</si>
  <si>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</si>
  <si>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</si>
  <si>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</si>
  <si>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</si>
  <si>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</si>
  <si>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</si>
  <si>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</si>
  <si>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</si>
  <si>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</si>
  <si>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</si>
  <si>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</si>
  <si>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</si>
  <si>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</si>
  <si>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</si>
  <si>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</si>
  <si>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</si>
  <si>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</si>
  <si>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</si>
  <si>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</si>
  <si>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</si>
  <si>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</si>
  <si>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</si>
  <si>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</si>
  <si>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</si>
  <si>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</si>
  <si>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</si>
  <si>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</si>
  <si>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</si>
  <si>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</si>
  <si>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</si>
  <si>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</si>
  <si>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</si>
  <si>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</si>
  <si>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</si>
  <si>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</si>
  <si>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</si>
  <si>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</si>
  <si>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</si>
  <si>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</si>
  <si>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</si>
  <si>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</si>
  <si>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</si>
  <si>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</si>
  <si>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</si>
  <si>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</si>
  <si>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</si>
  <si>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</si>
  <si>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</si>
  <si>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</si>
  <si>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</si>
  <si>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</si>
  <si>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</si>
  <si>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</si>
  <si>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</si>
  <si>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</si>
  <si>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</si>
  <si>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</si>
  <si>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</si>
  <si>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</si>
  <si>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</si>
  <si>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</si>
  <si>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</si>
  <si>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</si>
  <si>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</si>
  <si>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</si>
  <si>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</si>
  <si>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</si>
  <si>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</si>
  <si>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</si>
  <si>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</si>
  <si>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</si>
  <si>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</si>
  <si>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</si>
  <si>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</si>
  <si>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</si>
  <si>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</si>
  <si>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</si>
  <si>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</si>
  <si>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</si>
  <si>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</si>
  <si>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</si>
  <si>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</si>
  <si>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</si>
  <si>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</si>
  <si>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</si>
  <si>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</si>
  <si>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</si>
  <si>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</si>
  <si>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</si>
  <si>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</si>
  <si>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</si>
  <si>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</si>
  <si>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</si>
  <si>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</si>
  <si>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</si>
  <si>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</si>
  <si>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</si>
  <si>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</si>
  <si>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</si>
  <si>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</si>
  <si>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</si>
  <si>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</si>
  <si>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</si>
  <si>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</si>
  <si>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</si>
  <si>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</si>
  <si>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</si>
  <si>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</si>
  <si>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</si>
  <si>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</si>
  <si>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</si>
  <si>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</si>
  <si>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</si>
  <si>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</si>
  <si>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</si>
  <si>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</si>
  <si>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</si>
  <si>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</si>
  <si>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</si>
  <si>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</si>
  <si>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</si>
  <si>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</si>
  <si>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</si>
  <si>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</si>
  <si>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</si>
  <si>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</si>
  <si>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</si>
  <si>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</si>
  <si>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</si>
  <si>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</si>
  <si>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</si>
  <si>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</si>
  <si>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</si>
  <si>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</si>
  <si>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</si>
  <si>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</si>
  <si>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</si>
  <si>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</si>
  <si>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</si>
  <si>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</si>
  <si>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</si>
  <si>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</si>
  <si>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</si>
  <si>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</si>
  <si>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</si>
  <si>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</si>
  <si>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</si>
  <si>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</si>
  <si>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</si>
  <si>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</si>
  <si>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</si>
  <si>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</si>
  <si>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</si>
  <si>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</si>
  <si>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</si>
  <si>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</si>
  <si>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</si>
  <si>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</si>
  <si>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</si>
  <si>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</si>
  <si>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</si>
  <si>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</si>
  <si>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</si>
  <si>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</si>
  <si>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</si>
  <si>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</si>
  <si>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</si>
  <si>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</si>
  <si>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</si>
  <si>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</si>
  <si>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</si>
  <si>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</si>
  <si>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</si>
  <si>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</si>
  <si>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</si>
  <si>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</si>
  <si>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</si>
  <si>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</si>
  <si>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</si>
  <si>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</si>
  <si>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</si>
  <si>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</si>
  <si>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</si>
  <si>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</si>
  <si>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</si>
  <si>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</si>
  <si>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</si>
  <si>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</si>
  <si>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</si>
  <si>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</si>
  <si>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</si>
  <si>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</si>
  <si>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</si>
  <si>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</si>
  <si>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</si>
  <si>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</si>
  <si>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</si>
  <si>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</si>
  <si>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</si>
  <si>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</si>
  <si>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</si>
  <si>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</si>
  <si>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</si>
  <si>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</si>
  <si>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</si>
  <si>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</si>
  <si>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</si>
  <si>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</si>
  <si>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</si>
  <si>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</si>
  <si>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</si>
  <si>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</si>
  <si>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</si>
  <si>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</si>
  <si>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</si>
  <si>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</si>
  <si>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</si>
  <si>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</si>
  <si>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</si>
  <si>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</si>
  <si>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</si>
  <si>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</si>
  <si>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</si>
  <si>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</si>
  <si>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</si>
  <si>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</si>
  <si>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</si>
  <si>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</si>
  <si>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</si>
  <si>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</si>
  <si>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</si>
  <si>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</si>
  <si>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</si>
  <si>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</si>
  <si>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</si>
  <si>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</si>
  <si>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</si>
  <si>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</si>
  <si>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</si>
  <si>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</si>
  <si>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</si>
  <si>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</si>
  <si>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</si>
  <si>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</si>
  <si>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</si>
  <si>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</si>
  <si>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</si>
  <si>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</si>
  <si>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</si>
  <si>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</si>
  <si>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</si>
  <si>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</si>
  <si>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</si>
  <si>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</si>
  <si>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</si>
  <si>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</si>
  <si>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</si>
  <si>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</si>
  <si>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</si>
  <si>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</si>
  <si>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</si>
  <si>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</si>
  <si>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</si>
  <si>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</si>
  <si>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</si>
  <si>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</si>
  <si>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</si>
  <si>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</si>
  <si>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</si>
  <si>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</si>
  <si>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</si>
  <si>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</si>
  <si>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</si>
  <si>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</si>
  <si>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</si>
  <si>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</si>
  <si>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</si>
  <si>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</si>
  <si>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</si>
  <si>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</si>
  <si>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</si>
  <si>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</si>
  <si>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</si>
  <si>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</si>
  <si>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</si>
  <si>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</si>
  <si>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</si>
  <si>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</si>
  <si>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</si>
  <si>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</si>
  <si>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</si>
  <si>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</si>
  <si>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</si>
  <si>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</si>
  <si>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</si>
  <si>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</si>
  <si>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</si>
  <si>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</si>
  <si>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</si>
  <si>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</si>
  <si>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</si>
  <si>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</si>
  <si>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</si>
  <si>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</si>
  <si>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</si>
  <si>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</si>
  <si>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</si>
  <si>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</si>
  <si>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</si>
  <si>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</si>
  <si>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</si>
  <si>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</si>
  <si>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</si>
  <si>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</si>
  <si>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</si>
  <si>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</si>
  <si>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</si>
  <si>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</si>
  <si>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</si>
  <si>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</si>
  <si>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</si>
  <si>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</si>
  <si>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</si>
  <si>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</si>
  <si>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</si>
  <si>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</si>
  <si>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</si>
  <si>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</si>
  <si>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</si>
  <si>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</si>
  <si>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</si>
  <si>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</si>
  <si>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</si>
  <si>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</si>
  <si>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</si>
  <si>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</si>
  <si>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</si>
  <si>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</si>
  <si>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</si>
  <si>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</si>
  <si>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</si>
  <si>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</si>
  <si>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</si>
  <si>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</si>
  <si>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</si>
  <si>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</si>
  <si>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</si>
  <si>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</si>
  <si>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</si>
  <si>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</si>
  <si>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</si>
  <si>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</si>
  <si>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</si>
  <si>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</si>
  <si>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</si>
  <si>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</si>
  <si>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</si>
  <si>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</si>
  <si>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</si>
  <si>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</si>
  <si>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</si>
  <si>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</si>
  <si>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</si>
  <si>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</si>
  <si>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</si>
  <si>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</si>
  <si>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</si>
  <si>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</si>
  <si>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</si>
  <si>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</si>
  <si>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</si>
  <si>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</si>
  <si>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</si>
  <si>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</si>
  <si>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</si>
  <si>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</si>
  <si>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</si>
  <si>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</si>
  <si>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</si>
  <si>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</si>
  <si>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</si>
  <si>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</si>
  <si>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</si>
  <si>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</si>
  <si>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</si>
  <si>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</si>
  <si>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</si>
  <si>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</si>
  <si>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</si>
  <si>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</si>
  <si>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</si>
  <si>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</si>
  <si>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</si>
  <si>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</si>
  <si>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</si>
  <si>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</si>
  <si>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</si>
  <si>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</si>
  <si>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</si>
  <si>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</si>
  <si>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</si>
  <si>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</si>
  <si>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</si>
  <si>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</si>
  <si>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</si>
  <si>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</si>
  <si>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</si>
  <si>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</si>
  <si>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</si>
  <si>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</si>
  <si>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</si>
  <si>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</si>
  <si>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</si>
  <si>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</si>
  <si>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</si>
  <si>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</si>
  <si>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</si>
  <si>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</si>
  <si>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</si>
  <si>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</si>
  <si>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</si>
  <si>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</si>
  <si>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</si>
  <si>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</si>
  <si>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</si>
  <si>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</si>
  <si>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</si>
  <si>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</si>
  <si>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</si>
  <si>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</si>
  <si>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</si>
  <si>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</si>
  <si>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</si>
  <si>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</si>
  <si>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</si>
  <si>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</si>
  <si>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</si>
  <si>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</si>
  <si>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</si>
  <si>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</si>
  <si>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</si>
  <si>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</si>
  <si>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</si>
  <si>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</si>
  <si>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</si>
  <si>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</si>
  <si>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</si>
  <si>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</si>
  <si>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</si>
  <si>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</si>
  <si>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</si>
  <si>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</si>
  <si>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</si>
  <si>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</si>
  <si>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</si>
  <si>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</si>
  <si>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</si>
  <si>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</si>
  <si>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</si>
  <si>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</si>
  <si>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</si>
  <si>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</si>
  <si>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</si>
  <si>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</si>
  <si>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</si>
  <si>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</si>
  <si>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</si>
  <si>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</si>
  <si>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</si>
  <si>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</si>
  <si>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</si>
  <si>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</si>
  <si>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</si>
  <si>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</si>
  <si>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</si>
  <si>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</si>
  <si>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</si>
  <si>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</si>
  <si>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</si>
  <si>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</si>
  <si>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</si>
  <si>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</si>
  <si>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</si>
  <si>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</si>
  <si>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</si>
  <si>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</si>
  <si>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</si>
  <si>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</si>
  <si>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</si>
  <si>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</si>
  <si>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</si>
  <si>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</si>
  <si>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</si>
  <si>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</si>
  <si>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</si>
  <si>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</si>
  <si>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</si>
  <si>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</si>
  <si>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</si>
  <si>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</si>
  <si>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</si>
  <si>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</si>
  <si>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</si>
  <si>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</si>
  <si>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</si>
  <si>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</si>
  <si>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</si>
  <si>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</si>
  <si>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</si>
  <si>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</si>
  <si>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</si>
  <si>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</si>
  <si>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</si>
  <si>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</si>
  <si>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</si>
  <si>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</si>
  <si>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</si>
  <si>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</si>
  <si>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</si>
  <si>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</si>
  <si>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</si>
  <si>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</si>
  <si>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</si>
  <si>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</si>
  <si>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</si>
  <si>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</si>
  <si>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</si>
  <si>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</si>
  <si>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</si>
  <si>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</si>
  <si>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</si>
  <si>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</si>
  <si>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</si>
  <si>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</si>
  <si>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</si>
  <si>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</si>
  <si>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</si>
  <si>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</si>
  <si>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</si>
  <si>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</si>
  <si>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</si>
  <si>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</si>
  <si>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</si>
  <si>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</si>
  <si>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</si>
  <si>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</si>
  <si>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</si>
  <si>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</si>
  <si>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</si>
  <si>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</si>
  <si>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</si>
  <si>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</si>
  <si>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</si>
  <si>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</si>
  <si>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</si>
  <si>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</si>
  <si>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</si>
  <si>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</si>
  <si>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</si>
  <si>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</si>
  <si>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</si>
  <si>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</si>
  <si>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</si>
  <si>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</si>
  <si>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</si>
  <si>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</si>
  <si>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</si>
  <si>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</si>
  <si>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</si>
  <si>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</si>
  <si>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</si>
  <si>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</si>
  <si>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</si>
  <si>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</si>
  <si>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</si>
  <si>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</si>
  <si>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</si>
  <si>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</si>
  <si>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</si>
  <si>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</si>
  <si>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</si>
  <si>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</si>
  <si>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</si>
  <si>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</si>
  <si>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</si>
  <si>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</si>
  <si>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</si>
  <si>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</si>
  <si>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</si>
  <si>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</si>
  <si>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</si>
  <si>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</si>
  <si>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</si>
  <si>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</si>
  <si>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</si>
  <si>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</si>
  <si>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</si>
  <si>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</si>
  <si>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</si>
  <si>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</si>
  <si>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</si>
  <si>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</si>
  <si>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</si>
  <si>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</si>
  <si>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</si>
  <si>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</si>
  <si>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</si>
  <si>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</si>
  <si>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</si>
  <si>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</si>
  <si>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</si>
  <si>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</si>
  <si>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</si>
  <si>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</si>
  <si>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</si>
  <si>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</si>
  <si>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</si>
  <si>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</si>
  <si>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</si>
  <si>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</si>
  <si>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</si>
  <si>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</si>
  <si>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</si>
  <si>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</si>
  <si>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</si>
  <si>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</si>
  <si>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</si>
  <si>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</si>
  <si>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</si>
  <si>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</si>
  <si>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</si>
  <si>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</si>
  <si>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</si>
  <si>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</si>
  <si>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</si>
  <si>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</si>
  <si>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</si>
  <si>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</si>
  <si>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</si>
  <si>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</si>
  <si>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</si>
  <si>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</si>
  <si>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</si>
  <si>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</si>
  <si>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</si>
  <si>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</si>
  <si>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</si>
  <si>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</si>
  <si>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</si>
  <si>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</si>
  <si>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</si>
  <si>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</si>
  <si>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</si>
  <si>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</si>
  <si>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</si>
  <si>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</si>
  <si>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</si>
  <si>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</si>
  <si>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</si>
  <si>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</si>
  <si>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</si>
  <si>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</si>
  <si>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</si>
  <si>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</si>
  <si>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</si>
  <si>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</si>
  <si>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</si>
  <si>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</si>
  <si>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</si>
  <si>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</si>
  <si>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</si>
  <si>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</si>
  <si>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</si>
  <si>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</si>
  <si>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</si>
  <si>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</si>
  <si>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</si>
  <si>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</si>
  <si>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</si>
  <si>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</si>
  <si>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</si>
  <si>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</si>
  <si>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</si>
  <si>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</si>
  <si>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</si>
  <si>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</si>
  <si>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</si>
  <si>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</si>
  <si>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</si>
  <si>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</si>
  <si>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</si>
  <si>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</si>
  <si>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</si>
  <si>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</si>
  <si>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</si>
  <si>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</si>
  <si>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</si>
  <si>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</si>
  <si>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</si>
  <si>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</si>
  <si>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</si>
  <si>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</si>
  <si>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</si>
  <si>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</si>
  <si>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</si>
  <si>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</si>
  <si>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</si>
  <si>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</si>
  <si>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</si>
  <si>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</si>
  <si>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</si>
  <si>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</si>
  <si>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</si>
  <si>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</si>
  <si>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</si>
  <si>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</si>
  <si>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</si>
  <si>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</si>
  <si>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</si>
  <si>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</si>
  <si>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</si>
  <si>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</si>
  <si>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</si>
  <si>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</si>
  <si>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</si>
  <si>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</si>
  <si>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</si>
  <si>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</si>
  <si>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</si>
  <si>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</si>
  <si>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</si>
  <si>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</si>
  <si>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</si>
  <si>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</si>
  <si>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</si>
  <si>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</si>
  <si>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</si>
  <si>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</si>
  <si>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</si>
  <si>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</si>
  <si>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</si>
  <si>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</si>
  <si>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</si>
  <si>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</si>
  <si>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</si>
  <si>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</si>
  <si>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</si>
  <si>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</si>
  <si>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</si>
  <si>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</si>
  <si>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</si>
  <si>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</si>
  <si>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</si>
  <si>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</si>
  <si>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</si>
  <si>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</si>
  <si>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</si>
  <si>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</si>
  <si>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</si>
  <si>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</si>
  <si>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</si>
  <si>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</si>
  <si>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</si>
  <si>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</si>
  <si>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</si>
  <si>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</si>
  <si>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</si>
  <si>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</si>
  <si>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</si>
  <si>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</si>
  <si>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</si>
  <si>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</si>
  <si>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</si>
  <si>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</si>
  <si>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</si>
  <si>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</si>
  <si>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</si>
  <si>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</si>
  <si>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</si>
  <si>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</si>
  <si>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</si>
  <si>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</si>
  <si>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</si>
  <si>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</si>
  <si>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</si>
  <si>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</si>
  <si>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</si>
  <si>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</si>
  <si>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</si>
  <si>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</si>
  <si>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</si>
  <si>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</si>
  <si>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</si>
  <si>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</si>
  <si>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</si>
  <si>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</si>
  <si>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</si>
  <si>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</si>
  <si>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</si>
  <si>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</si>
  <si>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</si>
  <si>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</si>
  <si>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</si>
  <si>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</si>
  <si>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</si>
  <si>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</si>
  <si>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</si>
  <si>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</si>
  <si>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</si>
  <si>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</si>
  <si>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</si>
  <si>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</si>
  <si>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</si>
  <si>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</si>
  <si>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</si>
  <si>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</si>
  <si>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</si>
  <si>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</si>
  <si>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</si>
  <si>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</si>
  <si>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</si>
  <si>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</si>
  <si>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</si>
  <si>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</si>
  <si>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</si>
  <si>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</si>
  <si>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</si>
  <si>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</si>
  <si>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</si>
  <si>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</si>
  <si>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</si>
  <si>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</si>
  <si>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</si>
  <si>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</si>
  <si>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</si>
  <si>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</si>
  <si>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</si>
  <si>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</si>
  <si>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</si>
  <si>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</si>
  <si>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</si>
  <si>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</si>
  <si>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</si>
  <si>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</si>
  <si>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</si>
  <si>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</si>
  <si>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</si>
  <si>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</si>
  <si>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</si>
  <si>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</si>
  <si>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</si>
  <si>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</si>
  <si>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</si>
  <si>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</si>
  <si>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</si>
  <si>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</si>
  <si>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</si>
  <si>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</si>
  <si>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</si>
  <si>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</si>
  <si>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</si>
  <si>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</si>
  <si>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</si>
  <si>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</si>
  <si>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</si>
  <si>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</si>
  <si>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</si>
  <si>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</si>
  <si>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</si>
  <si>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</si>
  <si>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</si>
  <si>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</si>
  <si>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</si>
  <si>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</si>
  <si>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</si>
  <si>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</si>
  <si>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</si>
  <si>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</si>
  <si>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</si>
  <si>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</si>
  <si>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</si>
  <si>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</si>
  <si>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</si>
  <si>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</si>
  <si>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</si>
  <si>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</si>
  <si>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</si>
  <si>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</si>
  <si>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</si>
  <si>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</si>
  <si>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</si>
  <si>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</si>
  <si>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</si>
  <si>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</si>
  <si>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</si>
  <si>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</si>
  <si>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</si>
  <si>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</si>
  <si>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</si>
  <si>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</si>
  <si>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</si>
  <si>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</si>
  <si>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</si>
  <si>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</si>
  <si>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</si>
  <si>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</si>
  <si>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</si>
  <si>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</si>
  <si>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</si>
  <si>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</si>
  <si>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</si>
  <si>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</si>
  <si>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</si>
  <si>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</si>
  <si>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</si>
  <si>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</si>
  <si>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</si>
  <si>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</si>
  <si>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</si>
  <si>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</si>
  <si>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</si>
  <si>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</si>
  <si>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</si>
  <si>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</si>
  <si>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</si>
  <si>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</si>
  <si>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</si>
  <si>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</si>
  <si>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</si>
  <si>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</si>
  <si>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</si>
  <si>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</si>
  <si>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</si>
  <si>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</si>
  <si>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</si>
  <si>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</si>
  <si>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</si>
  <si>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</si>
  <si>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</si>
  <si>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</si>
  <si>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</si>
  <si>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</si>
  <si>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</si>
  <si>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</si>
  <si>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</si>
  <si>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</si>
  <si>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</si>
  <si>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</si>
  <si>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</si>
  <si>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</si>
  <si>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</si>
  <si>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</si>
  <si>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</si>
  <si>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</si>
  <si>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</si>
  <si>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</si>
  <si>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</si>
  <si>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</si>
  <si>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</si>
  <si>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</si>
  <si>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</si>
  <si>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</si>
  <si>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</si>
  <si>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</si>
  <si>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</si>
  <si>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</si>
  <si>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</si>
  <si>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</si>
  <si>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</si>
  <si>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</si>
  <si>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</si>
  <si>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</si>
  <si>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</si>
  <si>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</si>
  <si>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</si>
  <si>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</si>
  <si>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</si>
  <si>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</si>
  <si>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</si>
  <si>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</si>
  <si>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</si>
  <si>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</si>
  <si>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</si>
  <si>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</si>
  <si>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</si>
  <si>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</si>
  <si>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</si>
  <si>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</si>
  <si>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</si>
  <si>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</si>
  <si>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</si>
  <si>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</si>
  <si>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</si>
  <si>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</si>
  <si>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</si>
  <si>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</si>
  <si>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</si>
  <si>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</si>
  <si>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</si>
  <si>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</si>
  <si>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</si>
  <si>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</si>
  <si>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</si>
  <si>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</si>
  <si>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</si>
  <si>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</si>
  <si>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</si>
  <si>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</si>
  <si>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</si>
  <si>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</si>
  <si>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</si>
  <si>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</si>
  <si>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</si>
  <si>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</si>
  <si>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</si>
  <si>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</si>
  <si>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</si>
  <si>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</si>
  <si>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</si>
  <si>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</si>
  <si>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</si>
  <si>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</si>
  <si>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</si>
  <si>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</si>
  <si>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</si>
  <si>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</si>
  <si>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</si>
  <si>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</si>
  <si>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</si>
  <si>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</si>
  <si>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</si>
  <si>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</si>
  <si>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</si>
  <si>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</si>
  <si>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</si>
  <si>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</si>
  <si>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</si>
  <si>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</si>
  <si>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</si>
  <si>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</si>
  <si>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</si>
  <si>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</si>
  <si>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</si>
  <si>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</si>
  <si>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</si>
  <si>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</si>
  <si>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</si>
  <si>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</si>
  <si>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</si>
  <si>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</si>
  <si>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</si>
  <si>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</si>
  <si>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</si>
  <si>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</si>
  <si>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</si>
  <si>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</si>
  <si>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</si>
  <si>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</si>
  <si>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</si>
  <si>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</si>
  <si>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</si>
  <si>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</si>
  <si>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</si>
  <si>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</si>
  <si>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</si>
  <si>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</si>
  <si>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</si>
  <si>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</si>
  <si>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</si>
  <si>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</si>
  <si>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</si>
  <si>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</si>
  <si>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</si>
  <si>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</si>
  <si>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</si>
  <si>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</si>
  <si>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</si>
  <si>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</si>
  <si>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</si>
  <si>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</si>
  <si>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</si>
  <si>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</si>
  <si>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</si>
  <si>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</si>
  <si>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</si>
  <si>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</si>
  <si>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</si>
  <si>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</si>
  <si>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</si>
  <si>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</si>
  <si>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</si>
  <si>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</si>
  <si>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</si>
  <si>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</si>
  <si>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</si>
  <si>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</si>
  <si>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</si>
  <si>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</si>
  <si>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</si>
  <si>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</si>
  <si>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</si>
  <si>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</si>
  <si>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</si>
  <si>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</si>
  <si>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</si>
  <si>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</si>
  <si>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</si>
  <si>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</si>
  <si>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</si>
  <si>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</si>
  <si>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</si>
  <si>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</si>
  <si>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</si>
  <si>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</si>
  <si>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</si>
  <si>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</si>
  <si>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</si>
  <si>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</si>
  <si>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</si>
  <si>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</si>
  <si>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</si>
  <si>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</si>
  <si>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</si>
  <si>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</si>
  <si>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</si>
  <si>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</si>
  <si>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</si>
  <si>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</si>
  <si>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</si>
  <si>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</si>
  <si>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</si>
  <si>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</si>
  <si>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</si>
  <si>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</si>
  <si>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</si>
  <si>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</si>
  <si>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</si>
  <si>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</si>
  <si>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</si>
  <si>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</si>
  <si>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</si>
  <si>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</si>
  <si>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</si>
  <si>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</si>
  <si>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</si>
  <si>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</si>
  <si>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</si>
  <si>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</si>
  <si>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</si>
  <si>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</si>
  <si>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</si>
  <si>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</si>
  <si>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</si>
  <si>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</si>
  <si>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</si>
  <si>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</si>
  <si>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</si>
  <si>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</si>
  <si>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</si>
  <si>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</si>
  <si>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</si>
  <si>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</si>
  <si>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</si>
  <si>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</si>
  <si>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</si>
  <si>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</si>
  <si>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</si>
  <si>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</si>
  <si>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</si>
  <si>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</si>
  <si>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</si>
  <si>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</si>
  <si>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</si>
  <si>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</si>
  <si>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</si>
  <si>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</si>
  <si>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</si>
  <si>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</si>
  <si>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</si>
  <si>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</si>
  <si>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</si>
  <si>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</si>
  <si>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</si>
  <si>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</si>
  <si>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</si>
  <si>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</si>
  <si>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</si>
  <si>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</si>
  <si>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</si>
  <si>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</si>
  <si>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</si>
  <si>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</si>
  <si>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</si>
  <si>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</si>
  <si>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</si>
  <si>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</si>
  <si>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</si>
  <si>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</si>
  <si>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</si>
  <si>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</si>
  <si>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</si>
  <si>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</si>
  <si>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</si>
  <si>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</si>
  <si>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</si>
  <si>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</si>
  <si>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</si>
  <si>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</si>
  <si>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</si>
  <si>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</si>
  <si>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</si>
  <si>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</si>
  <si>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</si>
  <si>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</si>
  <si>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</si>
  <si>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</si>
  <si>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</si>
  <si>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</si>
  <si>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</si>
  <si>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</si>
  <si>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</si>
  <si>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</si>
  <si>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</si>
  <si>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</si>
  <si>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</si>
  <si>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</si>
  <si>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</si>
  <si>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</si>
  <si>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</si>
  <si>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</si>
  <si>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</si>
  <si>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</si>
  <si>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</si>
  <si>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</si>
  <si>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</si>
  <si>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</si>
  <si>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</si>
  <si>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</si>
  <si>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</si>
  <si>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</si>
  <si>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</si>
  <si>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</si>
  <si>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</si>
  <si>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</si>
  <si>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</si>
  <si>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</si>
  <si>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</si>
  <si>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</si>
  <si>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</si>
  <si>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</si>
  <si>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</si>
  <si>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</si>
  <si>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</si>
  <si>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</si>
  <si>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</si>
  <si>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</si>
  <si>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</si>
  <si>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</si>
  <si>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</si>
  <si>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</si>
  <si>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</si>
  <si>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</si>
  <si>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</si>
  <si>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</si>
  <si>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</si>
  <si>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</si>
  <si>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</si>
  <si>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</si>
  <si>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</si>
  <si>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</si>
  <si>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</si>
  <si>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</si>
  <si>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</si>
  <si>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</si>
  <si>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</si>
  <si>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</si>
  <si>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</si>
  <si>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</si>
  <si>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</si>
  <si>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</si>
  <si>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</si>
  <si>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</si>
  <si>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</si>
  <si>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</si>
  <si>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</si>
  <si>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</si>
  <si>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</si>
  <si>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</si>
  <si>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</si>
  <si>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</si>
  <si>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</si>
  <si>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</si>
  <si>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</si>
  <si>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</si>
  <si>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</si>
  <si>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</si>
  <si>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</si>
  <si>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</si>
  <si>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</si>
  <si>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</si>
  <si>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</si>
  <si>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</si>
  <si>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</si>
  <si>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</si>
  <si>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</si>
  <si>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</si>
  <si>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</si>
  <si>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</si>
  <si>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</si>
  <si>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</si>
  <si>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</si>
  <si>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</si>
  <si>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</si>
  <si>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</si>
  <si>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</si>
  <si>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</si>
  <si>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</si>
  <si>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</si>
  <si>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</si>
  <si>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</si>
  <si>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</si>
  <si>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</si>
  <si>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</si>
  <si>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</si>
  <si>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</si>
  <si>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</si>
  <si>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</si>
  <si>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</si>
  <si>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</si>
  <si>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</si>
  <si>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</si>
  <si>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</si>
  <si>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</si>
  <si>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</si>
  <si>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</si>
  <si>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</si>
  <si>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</si>
  <si>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</si>
  <si>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</si>
  <si>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</si>
  <si>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</si>
  <si>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</si>
  <si>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</si>
  <si>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</si>
  <si>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</si>
  <si>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</si>
  <si>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</si>
  <si>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</si>
  <si>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</si>
  <si>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</si>
  <si>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</si>
  <si>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</si>
  <si>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</si>
  <si>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</si>
  <si>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</si>
  <si>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</si>
  <si>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</si>
  <si>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</si>
  <si>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</si>
  <si>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</si>
  <si>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</si>
  <si>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</si>
  <si>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</si>
  <si>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</si>
  <si>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</si>
  <si>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</si>
  <si>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</si>
  <si>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</si>
  <si>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</si>
  <si>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</si>
  <si>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</si>
  <si>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</si>
  <si>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</si>
  <si>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</si>
  <si>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</si>
  <si>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</si>
  <si>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</si>
  <si>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</si>
  <si>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</si>
  <si>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</si>
  <si>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</si>
  <si>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</si>
  <si>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</si>
  <si>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</si>
  <si>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</si>
  <si>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</si>
  <si>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</si>
  <si>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</si>
  <si>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</si>
  <si>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</si>
  <si>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</si>
  <si>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</si>
  <si>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</si>
  <si>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</si>
  <si>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</si>
  <si>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</si>
  <si>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</si>
  <si>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</si>
  <si>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</si>
  <si>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</si>
  <si>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</si>
  <si>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</si>
  <si>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</si>
  <si>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</si>
  <si>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</si>
  <si>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</si>
  <si>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</si>
  <si>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</si>
  <si>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</si>
  <si>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</si>
  <si>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</si>
  <si>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</si>
  <si>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</si>
  <si>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</si>
  <si>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</si>
  <si>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</si>
  <si>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</si>
  <si>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</si>
  <si>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</si>
  <si>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</si>
  <si>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</si>
  <si>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</si>
  <si>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</si>
  <si>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</si>
  <si>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</si>
  <si>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</si>
  <si>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</si>
  <si>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</si>
  <si>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</si>
  <si>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</si>
  <si>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</si>
  <si>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</si>
  <si>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</si>
  <si>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</si>
  <si>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</si>
  <si>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</si>
  <si>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</si>
  <si>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</si>
  <si>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</si>
  <si>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</si>
  <si>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</si>
  <si>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</si>
  <si>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</si>
  <si>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</si>
  <si>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</si>
  <si>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</si>
  <si>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</si>
  <si>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</si>
  <si>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</si>
  <si>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</si>
  <si>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</si>
  <si>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</si>
  <si>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</si>
  <si>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</si>
  <si>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</si>
  <si>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</si>
  <si>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</si>
  <si>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</si>
  <si>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</si>
  <si>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</si>
  <si>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</si>
  <si>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</si>
  <si>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</si>
  <si>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</si>
  <si>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</si>
  <si>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</si>
  <si>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</si>
  <si>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</si>
  <si>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</si>
  <si>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</si>
  <si>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</si>
  <si>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</si>
  <si>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</si>
  <si>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</si>
  <si>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</si>
  <si>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</si>
  <si>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</si>
  <si>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</si>
  <si>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</si>
  <si>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</si>
  <si>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</si>
  <si>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</si>
  <si>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</si>
  <si>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</si>
  <si>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</si>
  <si>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</si>
  <si>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</si>
  <si>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</si>
  <si>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</si>
  <si>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</si>
  <si>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</si>
  <si>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</si>
  <si>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</si>
  <si>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</si>
  <si>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</si>
  <si>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</si>
  <si>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</si>
  <si>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</si>
  <si>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</si>
  <si>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</si>
  <si>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</si>
  <si>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</si>
  <si>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</si>
  <si>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</si>
  <si>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</si>
  <si>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</si>
  <si>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</si>
  <si>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</si>
  <si>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</si>
  <si>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</si>
  <si>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</si>
  <si>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</si>
  <si>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</si>
  <si>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</si>
  <si>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</si>
  <si>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</si>
  <si>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</si>
  <si>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</si>
  <si>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</si>
  <si>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</si>
  <si>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</si>
  <si>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</si>
  <si>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</si>
  <si>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</si>
  <si>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</si>
  <si>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</si>
  <si>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</si>
  <si>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</si>
  <si>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</si>
  <si>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</si>
  <si>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</si>
  <si>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</si>
  <si>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</si>
  <si>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</si>
  <si>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</si>
  <si>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</si>
  <si>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</si>
  <si>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</si>
  <si>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</si>
  <si>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</si>
  <si>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</si>
  <si>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</si>
  <si>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</si>
  <si>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</si>
  <si>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</si>
  <si>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</si>
  <si>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</si>
  <si>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</si>
  <si>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</si>
  <si>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</si>
  <si>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</si>
  <si>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</si>
  <si>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</si>
  <si>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</si>
  <si>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</si>
  <si>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</si>
  <si>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</si>
  <si>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</si>
  <si>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</si>
  <si>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</si>
  <si>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</si>
  <si>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</si>
  <si>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</si>
  <si>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</si>
  <si>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</si>
  <si>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</si>
  <si>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</si>
  <si>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</si>
  <si>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</si>
  <si>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</si>
  <si>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</si>
  <si>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</si>
  <si>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</si>
  <si>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</si>
  <si>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</si>
  <si>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</si>
  <si>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</si>
  <si>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</si>
  <si>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</si>
  <si>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</si>
  <si>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</si>
  <si>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</si>
  <si>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</si>
  <si>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</si>
  <si>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</si>
  <si>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</si>
  <si>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</si>
  <si>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</si>
  <si>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</si>
  <si>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</si>
  <si>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</si>
  <si>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</si>
  <si>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</si>
  <si>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</si>
  <si>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</si>
  <si>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</si>
  <si>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</si>
  <si>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</si>
  <si>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</si>
  <si>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</si>
  <si>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</si>
  <si>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</si>
  <si>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</si>
  <si>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</si>
  <si>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</si>
  <si>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</si>
  <si>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</si>
  <si>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</si>
  <si>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</si>
  <si>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</si>
  <si>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</si>
  <si>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</si>
  <si>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</si>
  <si>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</si>
  <si>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</si>
  <si>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</si>
  <si>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</si>
  <si>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</si>
  <si>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</si>
  <si>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</si>
  <si>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</si>
  <si>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</si>
  <si>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</si>
  <si>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</si>
  <si>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</si>
  <si>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</si>
  <si>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</si>
  <si>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</si>
  <si>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</si>
  <si>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</si>
  <si>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</si>
  <si>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</si>
  <si>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</si>
  <si>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</si>
  <si>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</si>
  <si>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</si>
  <si>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</si>
  <si>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</si>
  <si>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</si>
  <si>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</si>
  <si>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</si>
  <si>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</si>
  <si>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</si>
  <si>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</si>
  <si>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</si>
  <si>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</si>
  <si>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</si>
  <si>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</si>
  <si>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</si>
  <si>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</si>
  <si>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</si>
  <si>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</si>
  <si>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</si>
  <si>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</si>
  <si>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</si>
  <si>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</si>
  <si>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</si>
  <si>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</si>
  <si>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</si>
  <si>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</si>
  <si>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</si>
  <si>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</si>
  <si>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</si>
  <si>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</si>
  <si>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</si>
  <si>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</si>
  <si>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</si>
  <si>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</si>
  <si>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</si>
  <si>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</si>
  <si>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</si>
  <si>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</si>
  <si>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</si>
  <si>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</si>
  <si>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</si>
  <si>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</si>
  <si>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</si>
  <si>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</si>
  <si>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</si>
  <si>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</si>
  <si>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</si>
  <si>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</si>
  <si>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</si>
  <si>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</si>
  <si>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</si>
  <si>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</si>
  <si>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</si>
  <si>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</si>
  <si>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</si>
  <si>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</si>
  <si>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</si>
  <si>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</si>
  <si>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</si>
  <si>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</si>
  <si>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</si>
  <si>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</si>
  <si>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</si>
  <si>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</si>
  <si>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</si>
  <si>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</si>
  <si>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</si>
  <si>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</si>
  <si>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</si>
  <si>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</si>
  <si>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</si>
  <si>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</si>
  <si>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</si>
  <si>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</si>
  <si>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</si>
  <si>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</si>
  <si>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</si>
  <si>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</si>
  <si>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</si>
  <si>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</si>
  <si>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</si>
  <si>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</si>
  <si>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</si>
  <si>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</si>
  <si>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</si>
  <si>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</si>
  <si>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</si>
  <si>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</si>
  <si>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</si>
  <si>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</si>
  <si>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</si>
  <si>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</si>
  <si>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</si>
  <si>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</si>
  <si>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</si>
  <si>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</si>
  <si>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</si>
  <si>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</si>
  <si>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</si>
  <si>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</si>
  <si>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</si>
  <si>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</si>
  <si>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</si>
  <si>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</si>
  <si>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</si>
  <si>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</si>
  <si>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</si>
  <si>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</si>
  <si>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</si>
  <si>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</si>
  <si>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</si>
  <si>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</si>
  <si>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</si>
  <si>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</si>
  <si>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</si>
  <si>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</si>
  <si>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</si>
  <si>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</si>
  <si>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</si>
  <si>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</si>
  <si>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</si>
  <si>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</si>
  <si>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</si>
  <si>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</si>
  <si>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</si>
  <si>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</si>
  <si>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</si>
  <si>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</si>
  <si>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</si>
  <si>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</si>
  <si>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</si>
  <si>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</si>
  <si>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</si>
  <si>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</si>
  <si>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</si>
  <si>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</si>
  <si>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</si>
  <si>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</si>
  <si>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</si>
  <si>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</si>
  <si>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</si>
  <si>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</si>
  <si>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</si>
  <si>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</si>
  <si>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</si>
  <si>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</si>
  <si>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</si>
  <si>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</si>
  <si>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</si>
  <si>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</si>
  <si>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</si>
  <si>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</si>
  <si>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</si>
  <si>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</si>
  <si>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</si>
  <si>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</si>
  <si>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</si>
  <si>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</si>
  <si>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</si>
  <si>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</si>
  <si>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</si>
  <si>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</si>
  <si>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</si>
  <si>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</si>
  <si>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</si>
  <si>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</si>
  <si>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</si>
  <si>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</si>
  <si>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</si>
  <si>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</si>
  <si>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</si>
  <si>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</si>
  <si>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</si>
  <si>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</si>
  <si>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</si>
  <si>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</si>
  <si>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</si>
  <si>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</si>
  <si>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</si>
  <si>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</si>
  <si>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</si>
  <si>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</si>
  <si>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</si>
  <si>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</si>
  <si>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</si>
  <si>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</si>
  <si>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</si>
  <si>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</si>
  <si>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</si>
  <si>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</si>
  <si>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</si>
  <si>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</si>
  <si>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</si>
  <si>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</si>
  <si>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</si>
  <si>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</si>
  <si>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</si>
  <si>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</si>
  <si>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</si>
  <si>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</si>
  <si>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</si>
  <si>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</si>
  <si>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</si>
  <si>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</si>
  <si>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</si>
  <si>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</si>
  <si>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</si>
  <si>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</si>
  <si>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</si>
  <si>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</si>
  <si>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</si>
  <si>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</si>
  <si>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</si>
  <si>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</si>
  <si>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</si>
  <si>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</si>
  <si>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</si>
  <si>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</si>
  <si>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</si>
  <si>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</si>
  <si>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</si>
  <si>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</si>
  <si>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</si>
  <si>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</si>
  <si>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</si>
  <si>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</si>
  <si>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</si>
  <si>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</si>
  <si>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</si>
  <si>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</si>
  <si>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</si>
  <si>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</si>
  <si>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</si>
  <si>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</si>
  <si>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</si>
  <si>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</si>
  <si>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</si>
  <si>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</si>
  <si>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</si>
  <si>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</si>
  <si>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</si>
  <si>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</si>
  <si>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</si>
  <si>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</si>
  <si>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</si>
  <si>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</si>
  <si>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</si>
  <si>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</si>
  <si>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</si>
  <si>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</si>
  <si>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</si>
  <si>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</si>
  <si>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</si>
  <si>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</si>
  <si>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</si>
  <si>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</si>
  <si>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</si>
  <si>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</si>
  <si>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</si>
  <si>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</si>
  <si>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</si>
  <si>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</si>
  <si>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</si>
  <si>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</si>
  <si>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</si>
  <si>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</si>
  <si>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</si>
  <si>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</si>
  <si>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</si>
  <si>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</si>
  <si>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</si>
  <si>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</si>
  <si>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</si>
  <si>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</si>
  <si>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</si>
  <si>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</si>
  <si>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</si>
  <si>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</si>
  <si>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</si>
  <si>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</si>
  <si>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</si>
  <si>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</si>
  <si>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</si>
  <si>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</si>
  <si>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</si>
  <si>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</si>
  <si>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</si>
  <si>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</si>
  <si>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</si>
  <si>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</si>
  <si>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</si>
  <si>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</si>
  <si>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</si>
  <si>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</si>
  <si>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</si>
  <si>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</si>
  <si>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</si>
  <si>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</si>
  <si>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</si>
  <si>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</si>
  <si>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</si>
  <si>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</si>
  <si>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</si>
  <si>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</si>
  <si>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</si>
  <si>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</si>
  <si>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</si>
  <si>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</si>
  <si>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</si>
  <si>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</si>
  <si>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</si>
  <si>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</si>
  <si>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</si>
  <si>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</si>
  <si>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</si>
  <si>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</si>
  <si>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</si>
  <si>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</si>
  <si>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</si>
  <si>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</si>
  <si>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</si>
  <si>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</si>
  <si>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</si>
  <si>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</si>
  <si>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</si>
  <si>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</si>
  <si>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</si>
  <si>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</si>
  <si>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</si>
  <si>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</si>
  <si>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</si>
  <si>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</si>
  <si>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</si>
  <si>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</si>
  <si>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</si>
  <si>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</si>
  <si>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</si>
  <si>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</si>
  <si>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</si>
  <si>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</si>
  <si>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</si>
  <si>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</si>
  <si>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</si>
  <si>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</si>
  <si>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</si>
  <si>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</si>
  <si>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</si>
  <si>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</si>
  <si>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</si>
  <si>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</si>
  <si>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</si>
  <si>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</si>
  <si>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</si>
  <si>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</si>
  <si>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</si>
  <si>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</si>
  <si>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</si>
  <si>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</si>
  <si>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</si>
  <si>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</si>
  <si>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</si>
  <si>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</si>
  <si>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</si>
  <si>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</si>
  <si>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</si>
  <si>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</si>
  <si>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</si>
  <si>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</si>
  <si>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</si>
  <si>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</si>
  <si>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</si>
  <si>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</si>
  <si>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</si>
  <si>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</si>
  <si>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</si>
  <si>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</si>
  <si>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</si>
  <si>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</si>
  <si>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</si>
  <si>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</si>
  <si>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</si>
  <si>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</si>
  <si>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</si>
  <si>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</si>
  <si>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</si>
  <si>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</si>
  <si>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</si>
  <si>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</si>
  <si>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</si>
  <si>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</si>
  <si>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</si>
  <si>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</si>
  <si>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</si>
  <si>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</si>
  <si>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</si>
  <si>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</si>
  <si>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</si>
  <si>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</si>
  <si>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</si>
  <si>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</si>
  <si>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</si>
  <si>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</si>
  <si>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</si>
  <si>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</si>
  <si>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</si>
  <si>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</si>
  <si>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</si>
  <si>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</si>
  <si>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</si>
  <si>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</si>
  <si>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</si>
  <si>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</si>
  <si>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</si>
  <si>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</si>
  <si>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</si>
  <si>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</si>
  <si>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</si>
  <si>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</si>
  <si>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</si>
  <si>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</si>
  <si>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</si>
  <si>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</si>
  <si>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</si>
  <si>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</si>
  <si>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</si>
  <si>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</si>
  <si>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</si>
  <si>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</si>
  <si>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</si>
  <si>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</si>
  <si>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</si>
  <si>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</si>
  <si>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</si>
  <si>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</si>
  <si>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</si>
  <si>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</si>
  <si>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</si>
  <si>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</si>
  <si>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</si>
  <si>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</si>
  <si>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</si>
  <si>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</si>
  <si>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</si>
  <si>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</si>
  <si>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</si>
  <si>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</si>
  <si>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</si>
  <si>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</si>
  <si>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</si>
  <si>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</si>
  <si>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</si>
  <si>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</si>
  <si>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</si>
  <si>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</si>
  <si>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</si>
  <si>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</si>
  <si>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</si>
  <si>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</si>
  <si>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</si>
  <si>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</si>
  <si>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</si>
  <si>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</si>
  <si>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</si>
  <si>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</si>
  <si>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</si>
  <si>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</si>
  <si>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</si>
  <si>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</si>
  <si>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</si>
  <si>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</si>
  <si>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</si>
  <si>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</si>
  <si>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</si>
  <si>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</si>
  <si>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</si>
  <si>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</si>
  <si>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</si>
  <si>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</si>
  <si>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</si>
  <si>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</si>
  <si>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</si>
  <si>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</si>
  <si>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</si>
  <si>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</si>
  <si>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</si>
  <si>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</si>
  <si>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</si>
  <si>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</si>
  <si>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</si>
  <si>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</si>
  <si>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</si>
  <si>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</si>
  <si>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</si>
  <si>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</si>
  <si>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</si>
  <si>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</si>
  <si>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</si>
  <si>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</si>
  <si>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</si>
  <si>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</si>
  <si>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</si>
  <si>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</si>
  <si>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</si>
  <si>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</si>
  <si>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</si>
  <si>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</si>
  <si>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</si>
  <si>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</si>
  <si>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</si>
  <si>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</si>
  <si>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</si>
  <si>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</si>
  <si>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</si>
  <si>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</si>
  <si>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</si>
  <si>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</si>
  <si>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</si>
  <si>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</si>
  <si>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</si>
  <si>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</si>
  <si>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</si>
  <si>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</si>
  <si>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</si>
  <si>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</si>
  <si>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</si>
  <si>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</si>
  <si>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</si>
  <si>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</si>
  <si>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</si>
  <si>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</si>
  <si>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</si>
  <si>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</si>
  <si>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</si>
  <si>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</si>
  <si>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</si>
  <si>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</si>
  <si>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</si>
  <si>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</si>
  <si>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</si>
  <si>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</si>
  <si>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</si>
  <si>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</si>
  <si>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</si>
  <si>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</si>
  <si>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</si>
  <si>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</si>
  <si>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</si>
  <si>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</si>
  <si>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</si>
  <si>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</si>
  <si>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</si>
  <si>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</si>
  <si>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</si>
  <si>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</si>
  <si>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</si>
  <si>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</si>
  <si>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</si>
  <si>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</si>
  <si>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</si>
  <si>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</si>
  <si>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</si>
  <si>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</si>
  <si>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</si>
  <si>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</si>
  <si>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</si>
  <si>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</si>
  <si>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</si>
  <si>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</si>
  <si>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</si>
  <si>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</si>
  <si>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</si>
  <si>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</si>
  <si>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</si>
  <si>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</si>
  <si>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</si>
  <si>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</si>
  <si>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</si>
  <si>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</si>
  <si>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</si>
  <si>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</si>
  <si>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</si>
  <si>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</si>
  <si>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</si>
  <si>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</si>
  <si>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</si>
  <si>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</si>
  <si>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</si>
  <si>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</si>
  <si>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</si>
  <si>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</si>
  <si>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</si>
  <si>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</si>
  <si>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</si>
  <si>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</si>
  <si>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</si>
  <si>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</si>
  <si>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</si>
  <si>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</si>
  <si>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</si>
  <si>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</si>
  <si>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</si>
  <si>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</si>
  <si>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</si>
  <si>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</si>
  <si>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</si>
  <si>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</si>
  <si>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</si>
  <si>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</si>
  <si>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</si>
  <si>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</si>
  <si>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</si>
  <si>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</si>
  <si>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</si>
  <si>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</si>
  <si>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</si>
  <si>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</si>
  <si>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</si>
  <si>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</si>
  <si>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</si>
  <si>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</si>
  <si>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</si>
  <si>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</si>
  <si>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</si>
  <si>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</si>
  <si>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</si>
  <si>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</si>
  <si>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</si>
  <si>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</si>
  <si>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</si>
  <si>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</si>
  <si>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</si>
  <si>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</si>
  <si>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</si>
  <si>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</si>
  <si>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</si>
  <si>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</si>
  <si>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</si>
  <si>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</si>
  <si>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</si>
  <si>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</si>
  <si>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</si>
  <si>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</si>
  <si>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</si>
  <si>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</si>
  <si>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</si>
  <si>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</si>
  <si>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</si>
  <si>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</si>
  <si>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</si>
  <si>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</si>
  <si>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</si>
  <si>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</si>
  <si>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</si>
  <si>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</si>
  <si>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</si>
  <si>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</si>
  <si>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</si>
  <si>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</si>
  <si>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</si>
  <si>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</si>
  <si>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</si>
  <si>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</si>
  <si>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</si>
  <si>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</si>
  <si>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</si>
  <si>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</si>
  <si>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</si>
  <si>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</si>
  <si>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</si>
  <si>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</si>
  <si>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</si>
  <si>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</si>
  <si>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</si>
  <si>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</si>
  <si>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</si>
  <si>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</si>
  <si>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</si>
  <si>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</si>
  <si>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</si>
  <si>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</si>
  <si>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</si>
  <si>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</si>
  <si>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</si>
  <si>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</si>
  <si>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</si>
  <si>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</si>
  <si>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</si>
  <si>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</si>
  <si>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</si>
  <si>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</si>
  <si>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</si>
  <si>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</si>
  <si>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</si>
  <si>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</si>
  <si>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</si>
  <si>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</si>
  <si>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</si>
  <si>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</si>
  <si>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</si>
  <si>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</si>
  <si>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</si>
  <si>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</si>
  <si>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</si>
  <si>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</si>
  <si>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</si>
  <si>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</si>
  <si>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</si>
  <si>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</si>
  <si>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</si>
  <si>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</si>
  <si>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</si>
  <si>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</si>
  <si>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</si>
  <si>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</si>
  <si>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</si>
  <si>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</si>
  <si>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</si>
  <si>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</si>
  <si>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</si>
  <si>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</si>
  <si>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</si>
  <si>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</si>
  <si>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</si>
  <si>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</si>
  <si>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</si>
  <si>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</si>
  <si>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</si>
  <si>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</si>
  <si>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</si>
  <si>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</si>
  <si>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</si>
  <si>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</si>
  <si>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</si>
  <si>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</si>
  <si>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</si>
  <si>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</si>
  <si>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</si>
  <si>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</si>
  <si>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</si>
  <si>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</si>
  <si>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</si>
  <si>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</si>
  <si>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</si>
  <si>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</si>
  <si>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</si>
  <si>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</si>
  <si>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</si>
  <si>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</si>
  <si>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</si>
  <si>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</si>
  <si>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</si>
  <si>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</si>
  <si>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</si>
  <si>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</si>
  <si>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</si>
  <si>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</si>
  <si>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</si>
  <si>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</si>
  <si>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</si>
  <si>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</si>
  <si>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</si>
  <si>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</si>
  <si>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</si>
  <si>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</si>
  <si>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</si>
  <si>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</si>
  <si>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</si>
  <si>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</si>
  <si>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</si>
  <si>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</si>
  <si>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</si>
  <si>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</si>
  <si>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</si>
  <si>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</si>
  <si>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</si>
  <si>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</si>
  <si>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</si>
  <si>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</si>
  <si>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</si>
  <si>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</si>
  <si>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</si>
  <si>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</si>
  <si>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</si>
  <si>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</si>
  <si>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</si>
  <si>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</si>
  <si>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</si>
  <si>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</si>
  <si>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</si>
  <si>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</si>
  <si>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</si>
  <si>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</si>
  <si>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</si>
  <si>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</si>
  <si>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</si>
  <si>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</si>
  <si>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</si>
  <si>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</si>
  <si>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</si>
  <si>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</si>
  <si>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</si>
  <si>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</si>
  <si>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</si>
  <si>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</si>
  <si>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</si>
  <si>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</si>
  <si>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</si>
  <si>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</si>
  <si>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</si>
  <si>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</si>
  <si>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</si>
  <si>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</si>
  <si>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</si>
  <si>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</si>
  <si>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</si>
  <si>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</si>
  <si>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</si>
  <si>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</si>
  <si>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</si>
  <si>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</si>
  <si>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</si>
  <si>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</si>
  <si>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</si>
  <si>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</si>
  <si>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</si>
  <si>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</si>
  <si>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</si>
  <si>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</si>
  <si>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</si>
  <si>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</si>
  <si>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</si>
  <si>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</si>
  <si>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</si>
  <si>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</si>
  <si>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</si>
  <si>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</si>
  <si>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</si>
  <si>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</si>
  <si>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</si>
  <si>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</si>
  <si>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</si>
  <si>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</si>
  <si>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</si>
  <si>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</si>
  <si>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</si>
  <si>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</si>
  <si>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</si>
  <si>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</si>
  <si>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</si>
  <si>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</si>
  <si>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</si>
  <si>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</si>
  <si>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</si>
  <si>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</si>
  <si>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</si>
  <si>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</si>
  <si>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</si>
  <si>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</si>
  <si>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</si>
  <si>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</si>
  <si>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</si>
  <si>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</si>
  <si>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</si>
  <si>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</si>
  <si>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</si>
  <si>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</si>
  <si>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</si>
  <si>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</si>
  <si>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</si>
  <si>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</si>
  <si>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</si>
  <si>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</si>
  <si>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</si>
  <si>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</si>
  <si>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</si>
  <si>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</si>
  <si>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</si>
  <si>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</si>
  <si>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</si>
  <si>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</si>
  <si>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</si>
  <si>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</si>
  <si>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</si>
  <si>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</si>
  <si>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</si>
  <si>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</si>
  <si>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</si>
  <si>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</si>
  <si>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</si>
  <si>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</si>
  <si>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</si>
  <si>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</si>
  <si>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</si>
  <si>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</si>
  <si>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</si>
  <si>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</si>
  <si>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</si>
  <si>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</si>
  <si>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</si>
  <si>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</si>
  <si>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</si>
  <si>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</si>
  <si>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</si>
  <si>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</si>
  <si>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</si>
  <si>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</si>
  <si>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</si>
  <si>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</si>
  <si>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</si>
  <si>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</si>
  <si>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</si>
  <si>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</si>
  <si>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</si>
  <si>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</si>
  <si>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</si>
  <si>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</si>
  <si>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</si>
  <si>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</si>
  <si>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</si>
  <si>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</si>
  <si>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</si>
  <si>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</si>
  <si>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</si>
  <si>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</si>
  <si>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</si>
  <si>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</si>
  <si>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</si>
  <si>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</si>
  <si>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</si>
  <si>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</si>
  <si>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</si>
  <si>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</si>
  <si>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</si>
  <si>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</si>
  <si>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</si>
  <si>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</si>
  <si>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</si>
  <si>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</si>
  <si>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</si>
  <si>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</si>
  <si>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</si>
  <si>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</si>
  <si>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</si>
  <si>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</si>
  <si>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</si>
  <si>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</si>
  <si>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</si>
  <si>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</si>
  <si>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</si>
  <si>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</si>
  <si>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</si>
  <si>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</si>
  <si>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</si>
  <si>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</si>
  <si>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</si>
  <si>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</si>
  <si>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</si>
  <si>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</si>
  <si>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</si>
  <si>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</si>
  <si>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</si>
  <si>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</si>
  <si>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</si>
  <si>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</si>
  <si>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</si>
  <si>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</si>
  <si>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</si>
  <si>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</si>
  <si>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</si>
  <si>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</si>
  <si>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</si>
  <si>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</si>
  <si>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</si>
  <si>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</si>
  <si>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</si>
  <si>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</si>
  <si>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</si>
  <si>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</si>
  <si>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</si>
  <si>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</si>
  <si>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</si>
  <si>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</si>
  <si>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</si>
  <si>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</si>
  <si>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</si>
  <si>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</si>
  <si>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</si>
  <si>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</si>
  <si>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</si>
  <si>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</si>
  <si>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</si>
  <si>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</si>
  <si>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</si>
  <si>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</si>
  <si>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</si>
  <si>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</si>
  <si>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</si>
  <si>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</si>
  <si>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</si>
  <si>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</si>
  <si>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</si>
  <si>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</si>
  <si>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</si>
  <si>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</si>
  <si>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</si>
  <si>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</si>
  <si>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</si>
  <si>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</si>
  <si>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</si>
  <si>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</si>
  <si>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</si>
  <si>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</si>
  <si>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</si>
  <si>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</si>
  <si>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</si>
  <si>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</si>
  <si>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</si>
  <si>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</si>
  <si>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</si>
  <si>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</si>
  <si>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</si>
  <si>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</si>
  <si>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</si>
  <si>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</si>
  <si>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</si>
  <si>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</si>
  <si>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</si>
  <si>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</si>
  <si>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</si>
  <si>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</si>
  <si>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</si>
  <si>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</si>
  <si>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</si>
  <si>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</si>
  <si>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</si>
  <si>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</si>
  <si>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</si>
  <si>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</si>
  <si>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</si>
  <si>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</si>
  <si>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</si>
  <si>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</si>
  <si>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</si>
  <si>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</si>
  <si>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</si>
  <si>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</si>
  <si>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</si>
  <si>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</si>
  <si>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</si>
  <si>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</si>
  <si>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</si>
  <si>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</si>
  <si>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</si>
  <si>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</si>
  <si>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</si>
  <si>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</si>
  <si>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</si>
  <si>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</si>
  <si>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</si>
  <si>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</si>
  <si>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</si>
  <si>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</si>
  <si>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</si>
  <si>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</si>
  <si>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</si>
  <si>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</si>
  <si>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</si>
  <si>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</si>
  <si>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</si>
  <si>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</si>
  <si>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</si>
  <si>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</si>
  <si>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</si>
  <si>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</si>
  <si>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</si>
  <si>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</si>
  <si>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</si>
  <si>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</si>
  <si>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</si>
  <si>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</si>
  <si>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</si>
  <si>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</si>
  <si>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</si>
  <si>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</si>
  <si>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</si>
  <si>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</si>
  <si>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</si>
  <si>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</si>
  <si>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</si>
  <si>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</si>
  <si>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</si>
  <si>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</si>
  <si>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</si>
  <si>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</si>
  <si>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</si>
  <si>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</si>
  <si>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</si>
  <si>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</si>
  <si>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</si>
  <si>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</si>
  <si>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</si>
  <si>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</si>
  <si>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</si>
  <si>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</si>
  <si>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</si>
  <si>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</si>
  <si>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</si>
  <si>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</si>
  <si>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</si>
  <si>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</si>
  <si>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</si>
  <si>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</si>
  <si>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</si>
  <si>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</si>
  <si>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</si>
  <si>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</si>
  <si>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</si>
  <si>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</si>
  <si>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</si>
  <si>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</si>
  <si>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</si>
  <si>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</si>
  <si>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</si>
  <si>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</si>
  <si>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</si>
  <si>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</si>
  <si>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</si>
  <si>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</si>
  <si>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</si>
  <si>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</si>
  <si>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</si>
  <si>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</si>
  <si>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</si>
  <si>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</si>
  <si>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</si>
  <si>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</si>
  <si>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</si>
  <si>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</si>
  <si>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</si>
  <si>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</si>
  <si>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</si>
  <si>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</si>
  <si>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</si>
  <si>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</si>
  <si>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</si>
  <si>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</si>
  <si>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</si>
  <si>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</si>
  <si>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</si>
  <si>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</si>
  <si>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</si>
  <si>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</si>
  <si>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</si>
  <si>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</si>
  <si>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</si>
  <si>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</si>
  <si>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</si>
  <si>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</si>
  <si>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</si>
  <si>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</si>
  <si>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</si>
  <si>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</si>
  <si>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</si>
  <si>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</si>
  <si>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</si>
  <si>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</si>
  <si>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</si>
  <si>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</si>
  <si>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</si>
  <si>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</si>
  <si>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</si>
  <si>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</si>
  <si>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</si>
  <si>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</si>
  <si>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</si>
  <si>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</si>
  <si>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</si>
  <si>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</si>
  <si>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</si>
  <si>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</si>
  <si>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</si>
  <si>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</si>
  <si>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</si>
  <si>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</si>
  <si>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</si>
  <si>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</si>
  <si>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</si>
  <si>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</si>
  <si>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</si>
  <si>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</si>
  <si>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</si>
  <si>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</si>
  <si>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</si>
  <si>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</si>
  <si>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</si>
  <si>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</si>
  <si>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</si>
  <si>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</si>
  <si>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</si>
  <si>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</si>
  <si>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</si>
  <si>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</si>
  <si>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</si>
  <si>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</si>
  <si>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</si>
  <si>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</si>
  <si>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</si>
  <si>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</si>
  <si>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</si>
  <si>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</si>
  <si>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</si>
  <si>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</si>
  <si>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</si>
  <si>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</si>
  <si>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</si>
  <si>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</si>
  <si>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</si>
  <si>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</si>
  <si>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</si>
  <si>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</si>
  <si>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</si>
  <si>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</si>
  <si>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</si>
  <si>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</si>
  <si>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</si>
  <si>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</si>
  <si>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</si>
  <si>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</si>
  <si>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</si>
  <si>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</si>
  <si>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</si>
  <si>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</si>
  <si>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</si>
  <si>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</si>
  <si>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</si>
  <si>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</si>
  <si>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</si>
  <si>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</si>
  <si>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</si>
  <si>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</si>
  <si>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</si>
  <si>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</si>
  <si>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</si>
  <si>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</si>
  <si>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</si>
  <si>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</si>
  <si>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</si>
  <si>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</si>
  <si>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</si>
  <si>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</si>
  <si>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</si>
  <si>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</si>
  <si>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</si>
  <si>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</si>
  <si>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</si>
  <si>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</si>
  <si>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</si>
  <si>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</si>
  <si>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</si>
  <si>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</si>
  <si>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</si>
  <si>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</si>
  <si>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</si>
  <si>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</si>
  <si>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</si>
  <si>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</si>
  <si>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</si>
  <si>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</si>
  <si>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</si>
  <si>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</si>
  <si>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</si>
  <si>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</si>
  <si>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</si>
  <si>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</si>
  <si>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</si>
  <si>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</si>
  <si>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</si>
  <si>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</si>
  <si>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</si>
  <si>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</si>
  <si>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</si>
  <si>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</si>
  <si>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</si>
  <si>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</si>
  <si>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</si>
  <si>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</si>
  <si>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</si>
  <si>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</si>
  <si>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</si>
  <si>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</si>
  <si>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</si>
  <si>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</si>
  <si>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</si>
  <si>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</si>
  <si>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</si>
  <si>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</si>
  <si>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</si>
  <si>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</si>
  <si>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</si>
  <si>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</si>
  <si>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</si>
  <si>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</si>
  <si>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</si>
  <si>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</si>
  <si>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</si>
  <si>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</si>
  <si>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</si>
  <si>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</si>
  <si>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</si>
  <si>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</si>
  <si>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</si>
  <si>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</si>
  <si>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</si>
  <si>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</si>
  <si>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</si>
  <si>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</si>
  <si>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</si>
  <si>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</si>
  <si>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</si>
  <si>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</si>
  <si>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</si>
  <si>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</si>
  <si>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</si>
  <si>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</si>
  <si>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</si>
  <si>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</si>
  <si>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</si>
  <si>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</si>
  <si>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</si>
  <si>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</si>
  <si>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</si>
  <si>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</si>
  <si>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</si>
  <si>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</si>
  <si>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</si>
  <si>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</si>
  <si>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</si>
  <si>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</si>
  <si>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</si>
  <si>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</si>
  <si>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</si>
  <si>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</si>
  <si>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</si>
  <si>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</si>
  <si>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</si>
  <si>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</si>
  <si>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</si>
  <si>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</si>
  <si>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</si>
  <si>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</si>
  <si>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</si>
  <si>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</si>
  <si>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</si>
  <si>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</si>
  <si>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</si>
  <si>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</si>
  <si>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</si>
  <si>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</si>
  <si>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</si>
  <si>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</si>
  <si>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</si>
  <si>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</si>
  <si>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</si>
  <si>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</si>
  <si>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</si>
  <si>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</si>
  <si>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</si>
  <si>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</si>
  <si>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</si>
  <si>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</si>
  <si>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</si>
  <si>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</si>
  <si>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</si>
  <si>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</si>
  <si>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</si>
  <si>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</si>
  <si>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</si>
  <si>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</si>
  <si>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</si>
  <si>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</si>
  <si>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</si>
  <si>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</si>
  <si>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</si>
  <si>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</si>
  <si>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</si>
  <si>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</si>
  <si>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</si>
  <si>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</si>
  <si>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</si>
  <si>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</si>
  <si>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</si>
  <si>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</si>
  <si>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</si>
  <si>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</si>
  <si>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</si>
  <si>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</si>
  <si>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</si>
  <si>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</si>
  <si>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</si>
  <si>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</si>
  <si>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</si>
  <si>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</si>
  <si>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</si>
  <si>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</si>
  <si>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</si>
  <si>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</si>
  <si>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</si>
  <si>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</si>
  <si>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</si>
  <si>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</si>
  <si>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</si>
  <si>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</si>
  <si>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</si>
  <si>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</si>
  <si>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</si>
  <si>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</si>
  <si>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</si>
  <si>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</si>
  <si>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</si>
  <si>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</si>
  <si>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</si>
  <si>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</si>
  <si>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</si>
  <si>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</si>
  <si>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</si>
  <si>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</si>
  <si>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</si>
  <si>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</si>
  <si>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</si>
  <si>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</si>
  <si>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</si>
  <si>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</si>
  <si>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</si>
  <si>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</si>
  <si>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</si>
  <si>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</si>
  <si>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</si>
  <si>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</si>
  <si>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</si>
  <si>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</si>
  <si>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</si>
  <si>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</si>
  <si>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</si>
  <si>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</si>
  <si>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</si>
  <si>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</si>
  <si>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</si>
  <si>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</si>
  <si>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</si>
  <si>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</si>
  <si>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</si>
  <si>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</si>
  <si>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</si>
  <si>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</si>
  <si>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</si>
  <si>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</si>
  <si>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</si>
  <si>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</si>
  <si>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</si>
  <si>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</si>
  <si>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</si>
  <si>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</si>
  <si>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</si>
  <si>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</si>
  <si>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</si>
  <si>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</si>
  <si>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</si>
  <si>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</si>
  <si>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</si>
  <si>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</si>
  <si>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</si>
  <si>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</si>
  <si>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</si>
  <si>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</si>
  <si>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</si>
  <si>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</si>
  <si>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</si>
  <si>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</si>
  <si>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</si>
  <si>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</si>
  <si>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</si>
  <si>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</si>
  <si>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</si>
  <si>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</si>
  <si>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</si>
  <si>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</si>
  <si>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</si>
  <si>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</si>
  <si>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</si>
  <si>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</si>
  <si>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</si>
  <si>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</si>
  <si>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</si>
  <si>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</si>
  <si>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</si>
  <si>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</si>
  <si>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</si>
  <si>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</si>
  <si>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</si>
  <si>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</si>
  <si>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</si>
  <si>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</si>
  <si>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</si>
  <si>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</si>
  <si>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</si>
  <si>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</si>
  <si>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</si>
  <si>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</si>
  <si>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</si>
  <si>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</si>
  <si>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</si>
  <si>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</si>
  <si>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</si>
  <si>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</si>
  <si>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</si>
  <si>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</si>
  <si>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</si>
  <si>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</si>
  <si>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</si>
  <si>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</si>
  <si>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</si>
  <si>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</si>
  <si>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</si>
  <si>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</si>
  <si>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</si>
  <si>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</si>
  <si>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</si>
  <si>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</si>
  <si>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</si>
  <si>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</si>
  <si>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</si>
  <si>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</si>
  <si>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</si>
  <si>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</si>
  <si>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</si>
  <si>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</si>
  <si>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</si>
  <si>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</si>
  <si>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</si>
  <si>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</si>
  <si>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</si>
  <si>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</si>
  <si>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</si>
  <si>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</si>
  <si>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</si>
  <si>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</si>
  <si>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</si>
  <si>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</si>
  <si>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</si>
  <si>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</si>
  <si>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</si>
  <si>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</si>
  <si>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</si>
  <si>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</si>
  <si>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</si>
  <si>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</si>
  <si>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</si>
  <si>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</si>
  <si>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</si>
  <si>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</si>
  <si>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</si>
  <si>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</si>
  <si>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</si>
  <si>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</si>
  <si>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</si>
  <si>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</si>
  <si>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</si>
  <si>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</si>
  <si>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</si>
  <si>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</si>
  <si>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</si>
  <si>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</si>
  <si>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</si>
  <si>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</si>
  <si>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</si>
  <si>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</si>
  <si>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</si>
  <si>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</si>
  <si>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</si>
  <si>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</si>
  <si>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</si>
  <si>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</si>
  <si>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</si>
  <si>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</si>
  <si>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</si>
  <si>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</si>
  <si>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</si>
  <si>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</si>
  <si>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</si>
  <si>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</si>
  <si>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</si>
  <si>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</si>
  <si>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</si>
  <si>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</si>
  <si>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</si>
  <si>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</si>
  <si>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</si>
  <si>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</si>
  <si>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</si>
  <si>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</si>
  <si>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</si>
  <si>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</si>
  <si>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</si>
  <si>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</si>
  <si>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</si>
  <si>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</si>
  <si>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</si>
  <si>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</si>
  <si>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</si>
  <si>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</si>
  <si>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</si>
  <si>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</si>
  <si>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</si>
  <si>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</si>
  <si>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</si>
  <si>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</si>
  <si>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</si>
  <si>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</si>
  <si>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</si>
  <si>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</si>
  <si>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</si>
  <si>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</si>
  <si>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</si>
  <si>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</si>
  <si>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</si>
  <si>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</si>
  <si>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</si>
  <si>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</si>
  <si>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</si>
  <si>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</si>
  <si>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</si>
  <si>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</si>
  <si>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</si>
  <si>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</si>
  <si>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</si>
  <si>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</si>
  <si>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</si>
  <si>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</si>
  <si>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</si>
  <si>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</si>
  <si>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</si>
  <si>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</si>
  <si>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</si>
  <si>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</si>
  <si>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</si>
  <si>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</si>
  <si>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</si>
  <si>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</si>
  <si>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</si>
  <si>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</si>
  <si>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</si>
  <si>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</si>
  <si>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</si>
  <si>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</si>
  <si>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</si>
  <si>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</si>
  <si>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</si>
  <si>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</si>
  <si>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</si>
  <si>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</si>
  <si>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</si>
  <si>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</si>
  <si>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</si>
  <si>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</si>
  <si>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</si>
  <si>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</si>
  <si>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</si>
  <si>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</si>
  <si>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</si>
  <si>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</si>
  <si>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</si>
  <si>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</si>
  <si>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</si>
  <si>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</si>
  <si>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</si>
  <si>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</si>
  <si>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</si>
  <si>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</si>
  <si>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</si>
  <si>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</si>
  <si>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</si>
  <si>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</si>
  <si>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</si>
  <si>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</si>
  <si>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</si>
  <si>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</si>
  <si>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</si>
  <si>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</si>
  <si>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</si>
  <si>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</si>
  <si>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</si>
  <si>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</si>
  <si>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</si>
  <si>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</si>
  <si>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</si>
  <si>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</si>
  <si>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</si>
  <si>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</si>
  <si>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</si>
  <si>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</si>
  <si>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</si>
  <si>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</si>
  <si>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</si>
  <si>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</si>
  <si>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</si>
  <si>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</si>
  <si>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</si>
  <si>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</si>
  <si>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</si>
  <si>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</si>
  <si>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</si>
  <si>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</si>
  <si>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</si>
  <si>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</si>
  <si>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</si>
  <si>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</si>
  <si>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</si>
  <si>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</si>
  <si>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</si>
  <si>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</si>
  <si>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</si>
  <si>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</si>
  <si>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</si>
  <si>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</si>
  <si>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</si>
  <si>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</si>
  <si>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</si>
  <si>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</si>
  <si>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</si>
  <si>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</si>
  <si>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</si>
  <si>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</si>
  <si>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</si>
  <si>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</si>
  <si>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</si>
  <si>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</si>
  <si>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</si>
  <si>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</si>
  <si>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</si>
  <si>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</si>
  <si>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</si>
  <si>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</si>
  <si>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</si>
  <si>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</si>
  <si>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</si>
  <si>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</si>
  <si>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</si>
  <si>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</si>
  <si>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</si>
  <si>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</si>
  <si>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</si>
  <si>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</si>
  <si>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</si>
  <si>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</si>
  <si>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</si>
  <si>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</si>
  <si>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</si>
  <si>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</si>
  <si>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</si>
  <si>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</si>
  <si>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</si>
  <si>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</si>
  <si>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</si>
  <si>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</si>
  <si>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</si>
  <si>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</si>
  <si>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</si>
  <si>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</si>
  <si>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</si>
  <si>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</si>
  <si>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</si>
  <si>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</si>
  <si>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</si>
  <si>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</si>
  <si>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</si>
  <si>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</si>
  <si>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</si>
  <si>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</si>
  <si>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</si>
  <si>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</si>
  <si>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</si>
  <si>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</si>
  <si>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</si>
  <si>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</si>
  <si>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</si>
  <si>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</si>
  <si>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</si>
  <si>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</si>
  <si>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</si>
  <si>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</si>
  <si>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</si>
  <si>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</si>
  <si>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</si>
  <si>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</si>
  <si>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</si>
  <si>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</si>
  <si>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</si>
  <si>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</si>
  <si>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</si>
  <si>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</si>
  <si>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</si>
  <si>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</si>
  <si>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</si>
  <si>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</si>
  <si>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</si>
  <si>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</si>
  <si>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</si>
  <si>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</si>
  <si>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</si>
  <si>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</si>
  <si>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</si>
  <si>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</si>
  <si>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</si>
  <si>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</si>
  <si>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</si>
  <si>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</si>
  <si>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</si>
  <si>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</si>
  <si>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</si>
  <si>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</si>
  <si>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</si>
  <si>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</si>
  <si>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</si>
  <si>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</si>
  <si>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</si>
  <si>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</si>
  <si>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</si>
  <si>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</si>
  <si>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</si>
  <si>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</si>
  <si>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</si>
  <si>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</si>
  <si>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</si>
  <si>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</si>
  <si>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</si>
  <si>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</si>
  <si>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</si>
  <si>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</si>
  <si>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</si>
  <si>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</si>
  <si>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</si>
  <si>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</si>
  <si>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</si>
  <si>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</si>
  <si>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</si>
  <si>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</si>
  <si>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</si>
  <si>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</si>
  <si>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</si>
  <si>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</si>
  <si>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</si>
  <si>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</si>
  <si>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</si>
  <si>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</si>
  <si>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</si>
  <si>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</si>
  <si>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</si>
  <si>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</si>
  <si>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</si>
  <si>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</si>
  <si>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</si>
  <si>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</si>
  <si>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</si>
  <si>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</si>
  <si>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</si>
  <si>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</si>
  <si>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</si>
  <si>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</si>
  <si>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</si>
  <si>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</si>
  <si>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</si>
  <si>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</si>
  <si>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</si>
  <si>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</si>
  <si>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</si>
  <si>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</si>
  <si>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</si>
  <si>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</si>
  <si>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</si>
  <si>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</si>
  <si>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</si>
  <si>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</si>
  <si>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</si>
  <si>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</si>
  <si>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</si>
  <si>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</si>
  <si>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</si>
  <si>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</si>
  <si>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</si>
  <si>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</si>
  <si>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</si>
  <si>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</si>
  <si>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</si>
  <si>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</si>
  <si>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</si>
  <si>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</si>
  <si>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</si>
  <si>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</si>
  <si>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</si>
  <si>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</si>
  <si>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</si>
  <si>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</si>
  <si>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</si>
  <si>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</si>
  <si>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</si>
  <si>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</si>
  <si>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</si>
  <si>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</si>
  <si>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</si>
  <si>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</si>
  <si>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</si>
  <si>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</si>
  <si>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</si>
  <si>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</si>
  <si>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</si>
  <si>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</si>
  <si>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</si>
  <si>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</si>
  <si>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</si>
  <si>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</si>
  <si>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</si>
  <si>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</si>
  <si>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</si>
  <si>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</si>
  <si>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</si>
  <si>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</si>
  <si>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</si>
  <si>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</si>
  <si>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</si>
  <si>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</si>
  <si>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</si>
  <si>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</si>
  <si>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</si>
  <si>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</si>
  <si>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</si>
  <si>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</si>
  <si>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</si>
  <si>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</si>
  <si>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</si>
  <si>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</si>
  <si>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</si>
  <si>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</si>
  <si>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</si>
  <si>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</si>
  <si>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</si>
  <si>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</si>
  <si>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</si>
  <si>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</si>
  <si>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</si>
  <si>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</si>
  <si>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</si>
  <si>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</si>
  <si>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</si>
  <si>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</si>
  <si>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</si>
  <si>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</si>
  <si>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</si>
  <si>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</si>
  <si>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</si>
  <si>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</si>
  <si>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</si>
  <si>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</si>
  <si>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</si>
  <si>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</si>
  <si>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</si>
  <si>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</si>
  <si>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</si>
  <si>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</si>
  <si>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</si>
  <si>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</si>
  <si>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</si>
  <si>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</si>
  <si>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</si>
  <si>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</si>
  <si>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</si>
  <si>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</si>
  <si>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</si>
  <si>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</si>
  <si>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</si>
  <si>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</si>
  <si>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</si>
  <si>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</si>
  <si>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</si>
  <si>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</si>
  <si>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</si>
  <si>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</si>
  <si>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</si>
  <si>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</si>
  <si>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</si>
  <si>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</si>
  <si>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</si>
  <si>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</si>
  <si>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</si>
  <si>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</si>
  <si>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</si>
  <si>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</si>
  <si>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</si>
  <si>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</si>
  <si>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</si>
  <si>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</si>
  <si>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</si>
  <si>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</si>
  <si>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</si>
  <si>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</si>
  <si>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</si>
  <si>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</si>
  <si>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</si>
  <si>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</si>
  <si>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</si>
  <si>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</si>
  <si>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</si>
  <si>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</si>
  <si>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</si>
  <si>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</si>
  <si>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</si>
  <si>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</si>
  <si>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</si>
  <si>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</si>
  <si>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</si>
  <si>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</si>
  <si>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</si>
  <si>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</si>
  <si>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</si>
  <si>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</si>
  <si>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</si>
  <si>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</si>
  <si>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</si>
  <si>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</si>
  <si>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</si>
  <si>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</si>
  <si>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</si>
  <si>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</si>
  <si>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</si>
  <si>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</si>
  <si>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</si>
  <si>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</si>
  <si>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</si>
  <si>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</si>
  <si>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</si>
  <si>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</si>
  <si>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</si>
  <si>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</si>
  <si>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</si>
  <si>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</si>
  <si>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</si>
  <si>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</si>
  <si>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</si>
  <si>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</si>
  <si>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</si>
  <si>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</si>
  <si>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</si>
  <si>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</si>
  <si>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</si>
  <si>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</si>
  <si>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</si>
  <si>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</si>
  <si>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</si>
  <si>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</si>
  <si>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</si>
  <si>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</si>
  <si>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</si>
  <si>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</si>
  <si>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</si>
  <si>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</si>
  <si>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</si>
  <si>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</si>
  <si>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</si>
  <si>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</si>
  <si>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</si>
  <si>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</si>
  <si>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</si>
  <si>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</si>
  <si>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</si>
  <si>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</si>
  <si>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</si>
  <si>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</si>
  <si>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</si>
  <si>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</si>
  <si>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</si>
  <si>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</si>
  <si>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</si>
  <si>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</si>
  <si>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</si>
  <si>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</si>
  <si>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</si>
  <si>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</si>
  <si>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</si>
  <si>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</si>
  <si>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</si>
  <si>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</si>
  <si>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</si>
  <si>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</si>
  <si>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</si>
  <si>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</si>
  <si>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</si>
  <si>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</si>
  <si>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</si>
  <si>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</si>
  <si>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</si>
  <si>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</si>
  <si>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</si>
  <si>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</si>
  <si>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</si>
  <si>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</si>
  <si>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</si>
  <si>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</si>
  <si>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</si>
  <si>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</si>
  <si>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</si>
  <si>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</si>
  <si>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</si>
  <si>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</si>
  <si>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</si>
  <si>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</si>
  <si>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</si>
  <si>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</si>
  <si>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</si>
  <si>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</si>
  <si>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</si>
  <si>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</si>
  <si>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</si>
  <si>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</si>
  <si>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</si>
  <si>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</si>
  <si>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</si>
  <si>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</si>
  <si>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</si>
  <si>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</si>
  <si>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</si>
  <si>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</si>
  <si>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</si>
  <si>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</si>
  <si>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</si>
  <si>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</si>
  <si>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</si>
  <si>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</si>
  <si>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</si>
  <si>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</si>
  <si>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</si>
  <si>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</si>
  <si>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</si>
  <si>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</si>
  <si>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</si>
  <si>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</si>
  <si>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</si>
  <si>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</si>
  <si>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</si>
  <si>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</si>
  <si>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</si>
  <si>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</si>
  <si>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</si>
  <si>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</si>
  <si>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</si>
  <si>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</si>
  <si>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</si>
  <si>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</si>
  <si>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</si>
  <si>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</si>
  <si>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</si>
  <si>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</si>
  <si>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</si>
  <si>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</si>
  <si>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</si>
  <si>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</si>
  <si>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</si>
  <si>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</si>
  <si>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</si>
  <si>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</si>
  <si>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</si>
  <si>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</si>
  <si>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</si>
  <si>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</si>
  <si>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</si>
  <si>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</si>
  <si>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</si>
  <si>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</si>
  <si>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</si>
  <si>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</si>
  <si>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</si>
  <si>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</si>
  <si>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</si>
  <si>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</si>
  <si>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</si>
  <si>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</si>
  <si>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</si>
  <si>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</si>
  <si>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</si>
  <si>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</si>
  <si>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</si>
  <si>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</si>
  <si>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</si>
  <si>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</si>
  <si>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</si>
  <si>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</si>
  <si>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</si>
  <si>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</si>
  <si>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</si>
  <si>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</si>
  <si>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</si>
  <si>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</si>
  <si>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</si>
  <si>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</si>
  <si>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</si>
  <si>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</si>
  <si>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</si>
  <si>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</si>
  <si>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</si>
  <si>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</si>
  <si>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</si>
  <si>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</si>
  <si>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</si>
  <si>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</si>
  <si>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</si>
  <si>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</si>
  <si>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</si>
  <si>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</si>
  <si>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</si>
  <si>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</si>
  <si>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</si>
  <si>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</si>
  <si>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</si>
  <si>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</si>
  <si>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</si>
  <si>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</si>
  <si>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</si>
  <si>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</si>
  <si>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</si>
  <si>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</si>
  <si>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</si>
  <si>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</si>
  <si>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</si>
  <si>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</si>
  <si>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</si>
  <si>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</si>
  <si>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</si>
  <si>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</si>
  <si>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</si>
  <si>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</si>
  <si>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</si>
  <si>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</si>
  <si>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</si>
  <si>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</si>
  <si>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</si>
  <si>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</si>
  <si>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</si>
  <si>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</si>
  <si>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</si>
  <si>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</si>
  <si>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</si>
  <si>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</si>
  <si>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</si>
  <si>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</si>
  <si>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</si>
  <si>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</si>
  <si>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</si>
  <si>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</si>
  <si>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</si>
  <si>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</si>
  <si>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</si>
  <si>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</si>
  <si>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</si>
  <si>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</si>
  <si>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</si>
  <si>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</si>
  <si>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</si>
  <si>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</si>
  <si>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</si>
  <si>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</si>
  <si>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</si>
  <si>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</si>
  <si>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</si>
  <si>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</si>
  <si>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</si>
  <si>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</si>
  <si>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</si>
  <si>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</si>
  <si>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</si>
  <si>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</si>
  <si>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</si>
  <si>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</si>
  <si>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</si>
  <si>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</si>
  <si>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</si>
  <si>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</si>
  <si>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</si>
  <si>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</si>
  <si>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</si>
  <si>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</si>
  <si>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</si>
  <si>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</si>
  <si>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</si>
  <si>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</si>
  <si>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</si>
  <si>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</si>
  <si>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</si>
  <si>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</si>
  <si>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</si>
  <si>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</si>
  <si>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</si>
  <si>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</si>
  <si>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</si>
  <si>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</si>
  <si>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</si>
  <si>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</si>
  <si>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</si>
  <si>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</si>
  <si>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</si>
  <si>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</si>
  <si>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</si>
  <si>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</si>
  <si>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</si>
  <si>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</si>
  <si>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</si>
  <si>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</si>
  <si>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</si>
  <si>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</si>
  <si>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</si>
  <si>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</si>
  <si>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</si>
  <si>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</si>
  <si>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</si>
  <si>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</si>
  <si>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</si>
  <si>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</si>
  <si>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</si>
  <si>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</si>
  <si>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</si>
  <si>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</si>
  <si>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</si>
  <si>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</si>
  <si>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</si>
  <si>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</si>
  <si>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</si>
  <si>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</si>
  <si>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</si>
  <si>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</si>
  <si>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</si>
  <si>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</si>
  <si>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</si>
  <si>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</si>
  <si>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</si>
  <si>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</si>
  <si>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</si>
  <si>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</si>
  <si>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</si>
  <si>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</si>
  <si>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</si>
  <si>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</si>
  <si>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</si>
  <si>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</si>
  <si>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</si>
  <si>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</si>
  <si>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</si>
  <si>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</si>
  <si>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</si>
  <si>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</si>
  <si>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</si>
  <si>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</si>
  <si>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</si>
  <si>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</si>
  <si>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</si>
  <si>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</si>
  <si>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</si>
  <si>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</si>
  <si>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</si>
  <si>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</si>
  <si>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</si>
  <si>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</si>
  <si>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</si>
  <si>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</si>
  <si>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</si>
  <si>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</si>
  <si>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</si>
  <si>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</si>
  <si>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</si>
  <si>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</si>
  <si>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</si>
  <si>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</si>
  <si>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</si>
  <si>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</si>
  <si>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</si>
  <si>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</si>
  <si>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</si>
  <si>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</si>
  <si>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</si>
  <si>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</si>
  <si>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</si>
  <si>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</si>
  <si>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</si>
  <si>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</si>
  <si>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</si>
  <si>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</si>
  <si>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</si>
  <si>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</si>
  <si>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</si>
  <si>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</si>
  <si>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</si>
  <si>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</si>
  <si>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</si>
  <si>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</si>
  <si>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</si>
  <si>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</si>
  <si>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</si>
  <si>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</si>
  <si>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</si>
  <si>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</si>
  <si>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</si>
  <si>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</si>
  <si>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</si>
  <si>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</si>
  <si>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</si>
  <si>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</si>
  <si>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</si>
  <si>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</si>
  <si>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</si>
  <si>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</si>
  <si>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</si>
  <si>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</si>
  <si>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</si>
  <si>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</si>
  <si>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</si>
  <si>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</si>
  <si>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</si>
  <si>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</si>
  <si>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</si>
  <si>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</si>
  <si>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</si>
  <si>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</si>
  <si>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</si>
  <si>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</si>
  <si>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</si>
  <si>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</si>
  <si>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</si>
  <si>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</si>
  <si>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</si>
  <si>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</si>
  <si>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</si>
  <si>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</si>
  <si>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</si>
  <si>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</si>
  <si>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</si>
  <si>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</si>
  <si>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</si>
  <si>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</si>
  <si>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</si>
  <si>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</si>
  <si>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</si>
  <si>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</si>
  <si>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</si>
  <si>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</si>
  <si>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</si>
  <si>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</si>
  <si>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</si>
  <si>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</si>
  <si>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</si>
  <si>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</si>
  <si>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</si>
  <si>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</si>
  <si>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</si>
  <si>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</si>
  <si>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</si>
  <si>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</si>
  <si>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</si>
  <si>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</si>
  <si>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</si>
  <si>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</si>
  <si>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</si>
  <si>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</si>
  <si>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</si>
  <si>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</si>
  <si>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</si>
  <si>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</si>
  <si>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</si>
  <si>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</si>
  <si>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</si>
  <si>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</si>
  <si>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</si>
  <si>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</si>
  <si>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</si>
  <si>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</si>
  <si>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</si>
  <si>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</si>
  <si>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</si>
  <si>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</si>
  <si>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</si>
  <si>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</si>
  <si>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</si>
  <si>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</si>
  <si>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</si>
  <si>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</si>
  <si>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</si>
  <si>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</si>
  <si>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</si>
  <si>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</si>
  <si>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</si>
  <si>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</si>
  <si>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</si>
  <si>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</si>
  <si>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</si>
  <si>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</si>
  <si>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</si>
  <si>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</si>
  <si>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</si>
  <si>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</si>
  <si>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</si>
  <si>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</si>
  <si>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</si>
  <si>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</si>
  <si>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</si>
  <si>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</si>
  <si>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</si>
  <si>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</si>
  <si>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</si>
  <si>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</si>
  <si>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</si>
  <si>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</si>
  <si>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</si>
  <si>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</si>
  <si>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</si>
  <si>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</si>
  <si>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</si>
  <si>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</si>
  <si>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</si>
  <si>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</si>
  <si>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</si>
  <si>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</si>
  <si>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</si>
  <si>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</si>
  <si>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</si>
  <si>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</si>
  <si>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</si>
  <si>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</si>
  <si>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</si>
  <si>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</si>
  <si>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</si>
  <si>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</si>
  <si>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</si>
  <si>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</si>
  <si>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</si>
  <si>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</si>
  <si>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</si>
  <si>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</si>
  <si>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</si>
  <si>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</si>
  <si>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</si>
  <si>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</si>
  <si>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</si>
  <si>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</si>
  <si>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</si>
  <si>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</si>
  <si>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</si>
  <si>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</si>
  <si>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</si>
  <si>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</si>
  <si>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</si>
  <si>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</si>
  <si>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</si>
  <si>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</si>
  <si>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</si>
  <si>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</si>
  <si>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</si>
  <si>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</si>
  <si>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</si>
  <si>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</si>
  <si>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</si>
  <si>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</si>
  <si>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</si>
  <si>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</si>
  <si>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</si>
  <si>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</si>
  <si>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</si>
  <si>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</si>
  <si>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</si>
  <si>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</si>
  <si>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</si>
  <si>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</si>
  <si>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</si>
  <si>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</si>
  <si>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</si>
  <si>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</si>
  <si>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</si>
  <si>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</si>
  <si>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</si>
  <si>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</si>
  <si>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</si>
  <si>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</si>
  <si>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</si>
  <si>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</si>
  <si>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</si>
  <si>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</si>
  <si>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</si>
  <si>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</si>
  <si>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</si>
  <si>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</si>
  <si>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</si>
  <si>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</si>
  <si>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</si>
  <si>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</si>
  <si>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</si>
  <si>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</si>
  <si>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</si>
  <si>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</si>
  <si>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</si>
  <si>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</si>
  <si>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</si>
  <si>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</si>
  <si>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</si>
  <si>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</si>
  <si>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</si>
  <si>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</si>
  <si>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</si>
  <si>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</si>
  <si>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</si>
  <si>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</si>
  <si>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</si>
  <si>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</si>
  <si>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</si>
  <si>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</si>
  <si>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</si>
  <si>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</si>
  <si>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</si>
  <si>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</si>
  <si>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</si>
  <si>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</si>
  <si>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</si>
  <si>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</si>
  <si>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</si>
  <si>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</si>
  <si>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</si>
  <si>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</si>
  <si>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</si>
  <si>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</si>
  <si>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</si>
  <si>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</si>
  <si>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</si>
  <si>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</si>
  <si>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</si>
  <si>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</si>
  <si>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</si>
  <si>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</si>
  <si>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</si>
  <si>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</si>
  <si>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</si>
  <si>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</si>
  <si>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</si>
  <si>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</si>
  <si>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</si>
  <si>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</si>
  <si>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</si>
  <si>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</si>
  <si>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</si>
  <si>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</si>
  <si>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</si>
  <si>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</si>
  <si>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</si>
  <si>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</si>
  <si>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</si>
  <si>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</si>
  <si>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</si>
  <si>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</si>
  <si>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</si>
  <si>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</si>
  <si>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</si>
  <si>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</si>
  <si>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</si>
  <si>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</si>
  <si>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</si>
  <si>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</si>
  <si>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</si>
  <si>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</si>
  <si>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</si>
  <si>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</si>
  <si>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</si>
  <si>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</si>
  <si>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</si>
  <si>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</si>
  <si>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</si>
  <si>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</si>
  <si>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</si>
  <si>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</si>
  <si>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</si>
  <si>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</si>
  <si>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</si>
  <si>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</si>
  <si>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</si>
  <si>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</si>
  <si>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</si>
  <si>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</si>
  <si>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</si>
  <si>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</si>
  <si>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</si>
  <si>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</si>
  <si>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</si>
  <si>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</si>
  <si>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</si>
  <si>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</si>
  <si>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</si>
  <si>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</si>
  <si>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</si>
  <si>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</si>
  <si>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</si>
  <si>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</si>
  <si>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</si>
  <si>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</si>
  <si>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</si>
  <si>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</si>
  <si>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</si>
  <si>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</si>
  <si>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</si>
  <si>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</si>
  <si>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</si>
  <si>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</si>
  <si>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</si>
  <si>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</si>
  <si>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</si>
  <si>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</si>
  <si>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</si>
  <si>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</si>
  <si>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</si>
  <si>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</si>
  <si>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</si>
  <si>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</si>
  <si>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</si>
  <si>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</si>
  <si>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</si>
  <si>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</si>
  <si>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</si>
  <si>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</si>
  <si>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</si>
  <si>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</si>
  <si>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</si>
  <si>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</si>
  <si>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</si>
  <si>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</si>
  <si>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</si>
  <si>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</si>
  <si>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</si>
  <si>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</si>
  <si>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</si>
  <si>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</si>
  <si>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</si>
  <si>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</si>
  <si>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</si>
  <si>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</si>
  <si>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</si>
  <si>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</si>
  <si>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</si>
  <si>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</si>
  <si>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</si>
  <si>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</si>
  <si>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</si>
  <si>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</si>
  <si>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</si>
  <si>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</si>
  <si>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</si>
  <si>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</si>
  <si>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</si>
  <si>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</si>
  <si>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</si>
  <si>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</si>
  <si>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</si>
  <si>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</si>
  <si>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</si>
  <si>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</si>
  <si>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</si>
  <si>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</si>
  <si>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</si>
  <si>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</si>
  <si>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</si>
  <si>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</si>
  <si>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</si>
  <si>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</si>
  <si>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</si>
  <si>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</si>
  <si>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</si>
  <si>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</si>
  <si>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</si>
  <si>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</si>
  <si>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</si>
  <si>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</si>
  <si>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</si>
  <si>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</si>
  <si>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</si>
  <si>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</si>
  <si>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</si>
  <si>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</si>
  <si>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</si>
  <si>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</si>
  <si>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</si>
  <si>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</si>
  <si>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</si>
  <si>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</si>
  <si>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</si>
  <si>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</si>
  <si>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</si>
  <si>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</si>
  <si>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</si>
  <si>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</si>
  <si>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</si>
  <si>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</si>
  <si>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</si>
  <si>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</si>
  <si>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</si>
  <si>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</si>
  <si>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</si>
  <si>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</si>
  <si>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</si>
  <si>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</si>
  <si>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</si>
  <si>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</si>
  <si>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</si>
  <si>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</si>
  <si>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</si>
  <si>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</si>
  <si>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</si>
  <si>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</si>
  <si>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</si>
  <si>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</si>
  <si>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</si>
  <si>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</si>
  <si>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</si>
  <si>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</si>
  <si>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</si>
  <si>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</si>
  <si>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</si>
  <si>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</si>
  <si>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</si>
  <si>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</si>
  <si>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</si>
  <si>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</si>
  <si>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</si>
  <si>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</si>
  <si>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</si>
  <si>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</si>
  <si>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</si>
  <si>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</si>
  <si>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</si>
  <si>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</si>
  <si>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</si>
  <si>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</si>
  <si>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</si>
  <si>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</si>
  <si>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</si>
  <si>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</si>
  <si>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</si>
  <si>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</si>
  <si>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</si>
  <si>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</si>
  <si>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</si>
  <si>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</si>
  <si>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</si>
  <si>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</si>
  <si>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</si>
  <si>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</si>
  <si>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</si>
  <si>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</si>
  <si>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</si>
  <si>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</si>
  <si>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</si>
  <si>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</si>
  <si>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</si>
  <si>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</si>
  <si>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</si>
  <si>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</si>
  <si>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</si>
  <si>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</si>
  <si>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</si>
  <si>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</si>
  <si>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</si>
  <si>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</si>
  <si>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</si>
  <si>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</si>
  <si>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</si>
  <si>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</si>
  <si>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</si>
  <si>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</si>
  <si>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</si>
  <si>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</si>
  <si>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</si>
  <si>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</si>
  <si>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</si>
  <si>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</si>
  <si>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</si>
  <si>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</si>
  <si>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</si>
  <si>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</si>
  <si>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</si>
  <si>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</si>
  <si>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</si>
  <si>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</si>
  <si>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</si>
  <si>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</si>
  <si>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</si>
  <si>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</si>
  <si>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</si>
  <si>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</si>
  <si>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</si>
  <si>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</si>
  <si>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</si>
  <si>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</si>
  <si>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</si>
  <si>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</si>
  <si>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</si>
  <si>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</si>
  <si>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</si>
  <si>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</si>
  <si>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</si>
  <si>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</si>
  <si>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</si>
  <si>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</si>
  <si>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</si>
  <si>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</si>
  <si>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</si>
  <si>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</si>
  <si>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</si>
  <si>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</si>
  <si>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</si>
  <si>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</si>
  <si>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</si>
  <si>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</si>
  <si>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</si>
  <si>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</si>
  <si>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</si>
  <si>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</si>
  <si>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</si>
  <si>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</si>
  <si>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</si>
  <si>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</si>
  <si>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</si>
  <si>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</si>
  <si>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</si>
  <si>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</si>
  <si>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</si>
  <si>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</si>
  <si>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</si>
  <si>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</si>
  <si>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</si>
  <si>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</si>
  <si>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</si>
  <si>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</si>
  <si>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</si>
  <si>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</si>
  <si>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</si>
  <si>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</si>
  <si>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</si>
  <si>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</si>
  <si>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</si>
  <si>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</si>
  <si>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</si>
  <si>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</si>
  <si>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</si>
  <si>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</si>
  <si>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</si>
  <si>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</si>
  <si>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</si>
  <si>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</si>
  <si>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</si>
  <si>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</si>
  <si>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</si>
  <si>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</si>
  <si>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</si>
  <si>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</si>
  <si>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</si>
  <si>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</si>
  <si>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</si>
  <si>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</si>
  <si>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</si>
  <si>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</si>
  <si>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</si>
  <si>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</si>
  <si>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</si>
  <si>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</si>
  <si>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</si>
  <si>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</si>
  <si>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</si>
  <si>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</si>
  <si>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</si>
  <si>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</si>
  <si>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</si>
  <si>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</si>
  <si>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</si>
  <si>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</si>
  <si>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</si>
  <si>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</si>
  <si>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</si>
  <si>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</si>
  <si>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</si>
  <si>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</si>
  <si>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</si>
  <si>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</si>
  <si>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</si>
  <si>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</si>
  <si>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</si>
  <si>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</si>
  <si>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</si>
  <si>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</si>
  <si>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</si>
  <si>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</si>
  <si>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</si>
  <si>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</si>
  <si>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</si>
  <si>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</si>
  <si>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</si>
  <si>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</si>
  <si>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</si>
  <si>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</si>
  <si>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</si>
  <si>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</si>
  <si>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</si>
  <si>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</si>
  <si>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</si>
  <si>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</si>
  <si>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</si>
  <si>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</si>
  <si>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</si>
  <si>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</si>
  <si>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</si>
  <si>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</si>
  <si>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</si>
  <si>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</si>
  <si>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</si>
  <si>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</si>
  <si>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</si>
  <si>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</si>
  <si>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</si>
  <si>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</si>
  <si>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</si>
  <si>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</si>
  <si>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</si>
  <si>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</si>
  <si>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</si>
  <si>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</si>
  <si>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</si>
  <si>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</si>
  <si>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</si>
  <si>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</si>
  <si>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</si>
  <si>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</si>
  <si>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</si>
  <si>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</si>
  <si>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</si>
  <si>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</si>
  <si>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</si>
  <si>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</si>
  <si>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</si>
  <si>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</si>
  <si>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</si>
  <si>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</si>
  <si>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</si>
  <si>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</si>
  <si>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</si>
  <si>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</si>
  <si>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</si>
  <si>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</si>
  <si>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</si>
  <si>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</si>
  <si>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</si>
  <si>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</si>
  <si>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</si>
  <si>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</si>
  <si>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</si>
  <si>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</si>
  <si>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</si>
  <si>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</si>
  <si>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</si>
  <si>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</si>
  <si>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</si>
  <si>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</si>
  <si>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</si>
  <si>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</si>
  <si>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</si>
  <si>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</si>
  <si>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</si>
  <si>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</si>
  <si>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</si>
  <si>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</si>
  <si>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</si>
  <si>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</si>
  <si>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</si>
  <si>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</si>
  <si>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</si>
  <si>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</si>
  <si>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</si>
  <si>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</si>
  <si>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</si>
  <si>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</si>
  <si>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</si>
  <si>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</si>
  <si>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</si>
  <si>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</si>
  <si>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</si>
  <si>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</si>
  <si>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</si>
  <si>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</si>
  <si>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</si>
  <si>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</si>
  <si>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</si>
  <si>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</si>
  <si>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</si>
  <si>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</si>
  <si>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</si>
  <si>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</si>
  <si>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</si>
  <si>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</si>
  <si>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</si>
  <si>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</si>
  <si>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</si>
  <si>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</si>
  <si>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</si>
  <si>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</si>
  <si>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</si>
  <si>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</si>
  <si>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</si>
  <si>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</si>
  <si>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</si>
  <si>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</si>
  <si>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</si>
  <si>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</si>
  <si>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</si>
  <si>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</si>
  <si>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</si>
  <si>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</si>
  <si>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</si>
  <si>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</si>
  <si>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</si>
  <si>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</si>
  <si>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</si>
  <si>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</si>
  <si>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</si>
  <si>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</si>
  <si>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</si>
  <si>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</si>
  <si>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</si>
  <si>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</si>
  <si>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</si>
  <si>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</si>
  <si>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</si>
  <si>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</si>
  <si>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</si>
  <si>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</si>
  <si>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</si>
  <si>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</si>
  <si>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</si>
  <si>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</si>
  <si>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</si>
  <si>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</si>
  <si>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</si>
  <si>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</si>
  <si>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</si>
  <si>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</si>
  <si>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</si>
  <si>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</si>
  <si>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</si>
  <si>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</si>
  <si>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</si>
  <si>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</si>
  <si>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</si>
  <si>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</si>
  <si>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</si>
  <si>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</si>
  <si>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</si>
  <si>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</si>
  <si>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</si>
  <si>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</si>
  <si>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</si>
  <si>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</si>
  <si>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</si>
  <si>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</si>
  <si>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</si>
  <si>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</si>
  <si>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</si>
  <si>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</si>
  <si>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</si>
  <si>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</si>
  <si>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</si>
  <si>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</si>
  <si>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</si>
  <si>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</si>
  <si>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</si>
  <si>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</si>
  <si>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</si>
  <si>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</si>
  <si>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</si>
  <si>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</si>
  <si>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</si>
  <si>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</si>
  <si>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</si>
  <si>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</si>
  <si>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</si>
  <si>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</si>
  <si>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</si>
  <si>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</si>
  <si>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</si>
  <si>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</si>
  <si>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</si>
  <si>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</si>
  <si>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</si>
  <si>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</si>
  <si>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</si>
  <si>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</si>
  <si>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</si>
  <si>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</si>
  <si>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</si>
  <si>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</si>
  <si>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</si>
  <si>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</si>
  <si>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</si>
  <si>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</si>
  <si>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</si>
  <si>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</si>
  <si>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</si>
  <si>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</si>
  <si>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</si>
  <si>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</si>
  <si>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</si>
  <si>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</si>
  <si>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</si>
  <si>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</si>
  <si>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</si>
  <si>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</si>
  <si>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</si>
  <si>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</si>
  <si>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</si>
  <si>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</si>
  <si>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</si>
  <si>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</si>
  <si>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</si>
  <si>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</si>
  <si>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</si>
  <si>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</si>
  <si>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</si>
  <si>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</si>
  <si>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</si>
  <si>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</si>
  <si>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</si>
  <si>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</si>
  <si>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</si>
  <si>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</si>
  <si>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</si>
  <si>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</si>
  <si>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</si>
  <si>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</si>
  <si>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</si>
  <si>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</si>
  <si>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</si>
  <si>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</si>
  <si>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</si>
  <si>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</si>
  <si>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</si>
  <si>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</si>
  <si>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</si>
  <si>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</si>
  <si>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</si>
  <si>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</si>
  <si>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</si>
  <si>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</si>
  <si>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</si>
  <si>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</si>
  <si>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</si>
  <si>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</si>
  <si>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</si>
  <si>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</si>
  <si>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</si>
  <si>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</si>
  <si>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</si>
  <si>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</si>
  <si>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</si>
  <si>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</si>
  <si>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</si>
  <si>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</si>
  <si>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</si>
  <si>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</si>
  <si>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</si>
  <si>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</si>
  <si>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</si>
  <si>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</si>
  <si>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</si>
  <si>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</si>
  <si>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</si>
  <si>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</si>
  <si>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</si>
  <si>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</si>
  <si>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</si>
  <si>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</si>
  <si>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</si>
  <si>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</si>
  <si>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</si>
  <si>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</si>
  <si>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</si>
  <si>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</si>
  <si>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</si>
  <si>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</si>
  <si>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</si>
  <si>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</si>
  <si>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</si>
  <si>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</si>
  <si>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</si>
  <si>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</si>
  <si>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</si>
  <si>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</si>
  <si>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</si>
  <si>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</si>
  <si>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</si>
  <si>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</si>
  <si>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</si>
  <si>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</si>
  <si>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</si>
  <si>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</si>
  <si>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</si>
  <si>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</si>
  <si>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</si>
  <si>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</si>
  <si>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</si>
  <si>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</si>
  <si>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</si>
  <si>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</si>
  <si>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</si>
  <si>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</si>
  <si>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</si>
  <si>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</si>
  <si>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</si>
  <si>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</si>
  <si>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</si>
  <si>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</si>
  <si>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</si>
  <si>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</si>
  <si>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</si>
  <si>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</si>
  <si>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</si>
  <si>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</si>
  <si>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</si>
  <si>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</si>
  <si>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</si>
  <si>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</si>
  <si>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</si>
  <si>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</si>
  <si>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</si>
  <si>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</si>
  <si>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</si>
  <si>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</si>
  <si>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</si>
  <si>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</si>
  <si>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</si>
  <si>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</si>
  <si>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</si>
  <si>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</si>
  <si>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</si>
  <si>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</si>
  <si>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</si>
  <si>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</si>
  <si>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</si>
  <si>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</si>
  <si>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</si>
  <si>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</si>
  <si>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</si>
  <si>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</si>
  <si>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</si>
  <si>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</si>
  <si>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</si>
  <si>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</si>
  <si>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</si>
  <si>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</si>
  <si>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</si>
  <si>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</si>
  <si>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</si>
  <si>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</si>
  <si>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</si>
  <si>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</si>
  <si>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</si>
  <si>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</si>
  <si>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</si>
  <si>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</si>
  <si>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</si>
  <si>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</si>
  <si>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</si>
  <si>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</si>
  <si>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</si>
  <si>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</si>
  <si>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</si>
  <si>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</si>
  <si>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</si>
  <si>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</si>
  <si>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</si>
  <si>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</si>
  <si>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</si>
  <si>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</si>
  <si>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</si>
  <si>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</si>
  <si>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</si>
  <si>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</si>
  <si>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</si>
  <si>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</si>
  <si>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</si>
  <si>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</si>
  <si>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</si>
  <si>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</si>
  <si>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</si>
  <si>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</si>
  <si>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</si>
  <si>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</si>
  <si>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</si>
  <si>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</si>
  <si>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</si>
  <si>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</si>
  <si>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</si>
  <si>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</si>
  <si>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</si>
  <si>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</si>
  <si>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</si>
  <si>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</si>
  <si>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</si>
  <si>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</si>
  <si>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</si>
  <si>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</si>
  <si>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</si>
  <si>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</si>
  <si>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</si>
  <si>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</si>
  <si>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</si>
  <si>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</si>
  <si>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</si>
  <si>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</si>
  <si>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</si>
  <si>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</si>
  <si>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</si>
  <si>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</si>
  <si>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</si>
  <si>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</si>
  <si>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</si>
  <si>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</si>
  <si>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</si>
  <si>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</si>
  <si>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</si>
  <si>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</si>
  <si>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</si>
  <si>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</si>
  <si>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</si>
  <si>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</si>
  <si>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</si>
  <si>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</si>
  <si>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</si>
  <si>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</si>
  <si>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</si>
  <si>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</si>
  <si>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</si>
  <si>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</si>
  <si>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</si>
  <si>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</si>
  <si>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</si>
  <si>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</si>
  <si>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</si>
  <si>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</si>
  <si>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</si>
  <si>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</si>
  <si>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</si>
  <si>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</si>
  <si>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</si>
  <si>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</si>
  <si>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</si>
  <si>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</si>
  <si>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</si>
  <si>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</si>
  <si>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</si>
  <si>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</si>
  <si>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</si>
  <si>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</si>
  <si>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</si>
  <si>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</si>
  <si>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</si>
  <si>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</si>
  <si>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</si>
  <si>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</si>
  <si>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</si>
  <si>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</si>
  <si>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</si>
  <si>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</si>
  <si>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</si>
  <si>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</si>
  <si>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</si>
  <si>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</si>
  <si>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</si>
  <si>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</si>
  <si>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</si>
  <si>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</si>
  <si>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</si>
  <si>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</si>
  <si>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</si>
  <si>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</si>
  <si>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</si>
  <si>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</si>
  <si>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</si>
  <si>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</si>
  <si>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</si>
  <si>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</si>
  <si>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</si>
  <si>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</si>
  <si>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</si>
  <si>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</si>
  <si>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</si>
  <si>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</si>
  <si>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</si>
  <si>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</si>
  <si>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</si>
  <si>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</si>
  <si>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</si>
  <si>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</si>
  <si>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</si>
  <si>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</si>
  <si>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</si>
  <si>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</si>
  <si>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</si>
  <si>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</si>
  <si>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</si>
  <si>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</si>
  <si>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</si>
  <si>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</si>
  <si>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</si>
  <si>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</si>
  <si>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</si>
  <si>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</si>
  <si>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</si>
  <si>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</si>
  <si>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</si>
  <si>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</si>
  <si>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</si>
  <si>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</si>
  <si>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</si>
  <si>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</si>
  <si>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</si>
  <si>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</si>
  <si>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</si>
  <si>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</si>
  <si>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</si>
  <si>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</si>
  <si>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</si>
  <si>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</si>
  <si>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</si>
  <si>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</si>
  <si>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</si>
  <si>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</si>
  <si>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</si>
  <si>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</si>
  <si>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</si>
  <si>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</si>
  <si>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</si>
  <si>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</si>
  <si>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</si>
  <si>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</si>
  <si>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</si>
  <si>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</si>
  <si>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</si>
  <si>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</si>
  <si>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</si>
  <si>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</si>
  <si>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</si>
  <si>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</si>
  <si>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</si>
  <si>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</si>
  <si>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</si>
  <si>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</si>
  <si>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</si>
  <si>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</si>
  <si>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</si>
  <si>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</si>
  <si>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</si>
  <si>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</si>
  <si>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</si>
  <si>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</si>
  <si>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</si>
  <si>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</si>
  <si>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</si>
  <si>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</si>
  <si>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</si>
  <si>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</si>
  <si>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</si>
  <si>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</si>
  <si>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</si>
  <si>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</si>
  <si>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</si>
  <si>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</si>
  <si>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</si>
  <si>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</si>
  <si>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</si>
  <si>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</si>
  <si>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</si>
  <si>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</si>
  <si>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</si>
  <si>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</si>
  <si>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</si>
  <si>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</si>
  <si>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</si>
  <si>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</si>
  <si>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</si>
  <si>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</si>
  <si>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</si>
  <si>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</si>
  <si>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</si>
  <si>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</si>
  <si>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</si>
  <si>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</si>
  <si>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</si>
  <si>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</si>
  <si>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</si>
  <si>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</si>
  <si>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</si>
  <si>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</si>
  <si>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</si>
  <si>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</si>
  <si>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</si>
  <si>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</si>
  <si>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</si>
  <si>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</si>
  <si>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</si>
  <si>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</si>
  <si>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</si>
  <si>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</si>
  <si>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</si>
  <si>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</si>
  <si>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</si>
  <si>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</si>
  <si>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</si>
  <si>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</si>
  <si>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</si>
  <si>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</si>
  <si>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</si>
  <si>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</si>
  <si>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</si>
  <si>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</si>
  <si>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</si>
  <si>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</si>
  <si>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</si>
  <si>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</si>
  <si>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</si>
  <si>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</si>
  <si>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</si>
  <si>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</si>
  <si>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</si>
  <si>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</si>
  <si>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</si>
  <si>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</si>
  <si>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</si>
  <si>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</si>
  <si>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</si>
  <si>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</si>
  <si>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</si>
  <si>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</si>
  <si>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</si>
  <si>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</si>
  <si>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</si>
  <si>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</si>
  <si>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</si>
  <si>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</si>
  <si>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</si>
  <si>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</si>
  <si>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</si>
  <si>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</si>
  <si>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</si>
  <si>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</si>
  <si>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</si>
  <si>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</si>
  <si>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</si>
  <si>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</si>
  <si>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</si>
  <si>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</si>
  <si>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</si>
  <si>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</si>
  <si>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</si>
  <si>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</si>
  <si>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</si>
  <si>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</si>
  <si>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</si>
  <si>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</si>
  <si>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</si>
  <si>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</si>
  <si>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</si>
  <si>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</si>
  <si>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</si>
  <si>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</si>
  <si>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</si>
  <si>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</si>
  <si>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</si>
  <si>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</si>
  <si>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</si>
  <si>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</si>
  <si>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</si>
  <si>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</si>
  <si>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</si>
  <si>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</si>
  <si>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</si>
  <si>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</si>
  <si>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</si>
  <si>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</si>
  <si>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</si>
  <si>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</si>
  <si>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</si>
  <si>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</si>
  <si>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</si>
  <si>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</si>
  <si>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</si>
  <si>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</si>
  <si>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</si>
  <si>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</si>
  <si>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</si>
  <si>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</si>
  <si>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</si>
  <si>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</si>
  <si>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</si>
  <si>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</si>
  <si>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</si>
  <si>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</si>
  <si>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</si>
  <si>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</si>
  <si>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</si>
  <si>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</si>
  <si>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</si>
  <si>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</si>
  <si>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</si>
  <si>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</si>
  <si>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</si>
  <si>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</si>
  <si>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</si>
  <si>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</si>
  <si>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</si>
  <si>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</si>
  <si>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</si>
  <si>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</si>
  <si>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</si>
  <si>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</si>
  <si>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</si>
  <si>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</si>
  <si>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</si>
  <si>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</si>
  <si>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</si>
  <si>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</si>
  <si>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</si>
  <si>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</si>
  <si>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</si>
  <si>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</si>
  <si>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</si>
  <si>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</si>
  <si>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</si>
  <si>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</si>
  <si>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</si>
  <si>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</si>
  <si>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</si>
  <si>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</si>
  <si>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</si>
  <si>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</si>
  <si>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</si>
  <si>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</si>
  <si>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</si>
  <si>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</si>
  <si>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</si>
  <si>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</si>
  <si>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</si>
  <si>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</si>
  <si>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</si>
  <si>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</si>
  <si>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</si>
  <si>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</si>
  <si>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</si>
  <si>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</si>
  <si>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</si>
  <si>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</si>
  <si>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</si>
  <si>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</si>
  <si>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</si>
  <si>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</si>
  <si>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</si>
  <si>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</si>
  <si>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</si>
  <si>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</si>
  <si>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</si>
  <si>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</si>
  <si>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</si>
  <si>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</si>
  <si>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</si>
  <si>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</si>
  <si>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</si>
  <si>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</si>
  <si>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</si>
  <si>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</si>
  <si>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</si>
  <si>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</si>
  <si>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</si>
  <si>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</si>
  <si>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</si>
  <si>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</si>
  <si>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</si>
  <si>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</si>
  <si>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</si>
  <si>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</si>
  <si>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</si>
  <si>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</si>
  <si>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</si>
  <si>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</si>
  <si>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</si>
  <si>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</si>
  <si>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</si>
  <si>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</si>
  <si>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</si>
  <si>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</si>
  <si>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</si>
  <si>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</si>
  <si>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</si>
  <si>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</si>
  <si>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</si>
  <si>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</si>
  <si>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</si>
  <si>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</si>
  <si>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</si>
  <si>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</si>
  <si>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</si>
  <si>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</si>
  <si>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</si>
  <si>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</si>
  <si>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</si>
  <si>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</si>
  <si>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</si>
  <si>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</si>
  <si>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</si>
  <si>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</si>
  <si>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</si>
  <si>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</si>
  <si>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</si>
  <si>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</si>
  <si>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</si>
  <si>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</si>
  <si>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</si>
  <si>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</si>
  <si>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</si>
  <si>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</si>
  <si>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</si>
  <si>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</si>
  <si>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</si>
  <si>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</si>
  <si>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</si>
  <si>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</si>
  <si>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</si>
  <si>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</si>
  <si>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</si>
  <si>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</si>
  <si>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</si>
  <si>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</si>
  <si>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</si>
  <si>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</si>
  <si>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</si>
  <si>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</si>
  <si>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</si>
  <si>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</si>
  <si>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</si>
  <si>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</si>
  <si>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</si>
  <si>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</si>
  <si>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</si>
  <si>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</si>
  <si>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</si>
  <si>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</si>
  <si>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</si>
  <si>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</si>
  <si>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</si>
  <si>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</si>
  <si>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</si>
  <si>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</si>
  <si>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</si>
  <si>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</si>
  <si>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</si>
  <si>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</si>
  <si>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</si>
  <si>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</si>
  <si>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</si>
  <si>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</si>
  <si>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</si>
  <si>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</si>
  <si>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</si>
  <si>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</si>
  <si>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</si>
  <si>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</si>
  <si>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</si>
  <si>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</si>
  <si>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</si>
  <si>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</si>
  <si>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</si>
  <si>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</si>
  <si>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</si>
  <si>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</si>
  <si>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</si>
  <si>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</si>
  <si>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</si>
  <si>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</si>
  <si>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</si>
  <si>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</si>
  <si>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</si>
  <si>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</si>
  <si>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</si>
  <si>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</si>
  <si>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</si>
  <si>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</si>
  <si>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</si>
  <si>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</si>
  <si>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</si>
  <si>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</si>
  <si>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</si>
  <si>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</si>
  <si>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</si>
  <si>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</si>
  <si>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</si>
  <si>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</si>
  <si>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</si>
  <si>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</si>
  <si>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</si>
  <si>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</si>
  <si>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</si>
  <si>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</si>
  <si>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</si>
  <si>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</si>
  <si>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</si>
  <si>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</si>
  <si>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</si>
  <si>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</si>
  <si>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</si>
  <si>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</si>
  <si>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</si>
  <si>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</si>
  <si>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</si>
  <si>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</si>
  <si>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</si>
  <si>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</si>
  <si>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</si>
  <si>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</si>
  <si>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</si>
  <si>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</si>
  <si>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</si>
  <si>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</si>
  <si>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</si>
  <si>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</si>
  <si>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</si>
  <si>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</si>
  <si>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</si>
  <si>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</si>
  <si>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</si>
  <si>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</si>
  <si>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</si>
  <si>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</si>
  <si>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</si>
  <si>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</si>
  <si>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</si>
  <si>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</si>
  <si>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</si>
  <si>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</si>
  <si>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</si>
  <si>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</si>
  <si>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</si>
  <si>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</si>
  <si>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</si>
  <si>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</si>
  <si>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</si>
  <si>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</si>
  <si>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</si>
  <si>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</si>
  <si>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</si>
  <si>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</si>
  <si>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</si>
  <si>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</si>
  <si>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</si>
  <si>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</si>
  <si>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</si>
  <si>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</si>
  <si>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</si>
  <si>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</si>
  <si>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</si>
  <si>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</si>
  <si>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</si>
  <si>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</si>
  <si>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</si>
  <si>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</si>
  <si>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</si>
  <si>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</si>
  <si>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</si>
  <si>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</si>
  <si>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</si>
  <si>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</si>
  <si>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</si>
  <si>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</si>
  <si>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</si>
  <si>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</si>
  <si>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</si>
  <si>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</si>
  <si>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</si>
  <si>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</si>
  <si>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</si>
  <si>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</si>
  <si>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</si>
  <si>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</si>
  <si>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</si>
  <si>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</si>
  <si>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</si>
  <si>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</si>
  <si>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</si>
  <si>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</si>
  <si>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</si>
  <si>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</si>
  <si>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</si>
  <si>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</si>
  <si>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</si>
  <si>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</si>
  <si>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</si>
  <si>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</si>
  <si>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</si>
  <si>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</si>
  <si>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</si>
  <si>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</si>
  <si>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</si>
  <si>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</si>
  <si>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</si>
  <si>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</si>
  <si>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</si>
  <si>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</si>
  <si>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</si>
  <si>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</si>
  <si>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</si>
  <si>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</si>
  <si>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</si>
  <si>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</si>
  <si>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</si>
  <si>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</si>
  <si>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</si>
  <si>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</si>
  <si>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</si>
  <si>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</si>
  <si>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</si>
  <si>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</si>
  <si>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</si>
  <si>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</si>
  <si>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</si>
  <si>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</si>
  <si>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</si>
  <si>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</si>
  <si>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</si>
  <si>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</si>
  <si>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</si>
  <si>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</si>
  <si>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</si>
  <si>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</si>
  <si>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</si>
  <si>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</si>
  <si>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</si>
  <si>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</si>
  <si>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</si>
  <si>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</si>
  <si>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</si>
  <si>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</si>
  <si>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</si>
  <si>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</si>
  <si>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</si>
  <si>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</si>
  <si>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</si>
  <si>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</si>
  <si>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</si>
  <si>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</si>
  <si>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</si>
  <si>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</si>
  <si>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</si>
  <si>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</si>
  <si>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</si>
  <si>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</si>
  <si>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</si>
  <si>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</si>
  <si>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</si>
  <si>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</si>
  <si>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</si>
  <si>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</si>
  <si>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</si>
  <si>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</si>
  <si>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</si>
  <si>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</si>
  <si>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</si>
  <si>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</si>
  <si>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</si>
  <si>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</si>
  <si>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</si>
  <si>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</si>
  <si>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</si>
  <si>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</si>
  <si>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</si>
  <si>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</si>
  <si>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</si>
  <si>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</si>
  <si>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</si>
  <si>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</si>
  <si>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</si>
  <si>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</si>
  <si>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</si>
  <si>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</si>
  <si>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</si>
  <si>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</si>
  <si>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</si>
  <si>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</si>
  <si>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</si>
  <si>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</si>
  <si>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</si>
  <si>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</si>
  <si>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</si>
  <si>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</si>
  <si>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</si>
  <si>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</si>
  <si>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</si>
  <si>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</si>
  <si>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</si>
  <si>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</si>
  <si>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</si>
  <si>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</si>
  <si>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</si>
  <si>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</si>
  <si>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</si>
  <si>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</si>
  <si>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</si>
  <si>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</si>
  <si>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</si>
  <si>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</si>
  <si>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</si>
  <si>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</si>
  <si>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</si>
  <si>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</si>
  <si>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</si>
  <si>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</si>
  <si>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</si>
  <si>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</si>
  <si>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</si>
  <si>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</si>
  <si>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</si>
  <si>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</si>
  <si>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</si>
  <si>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</si>
  <si>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</si>
  <si>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</si>
  <si>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</si>
  <si>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</si>
  <si>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</si>
  <si>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</si>
  <si>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</si>
  <si>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</si>
  <si>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</si>
  <si>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</si>
  <si>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</si>
  <si>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</si>
  <si>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</si>
  <si>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</si>
  <si>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</si>
  <si>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</si>
  <si>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</si>
  <si>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</si>
  <si>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</si>
  <si>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</si>
  <si>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</si>
  <si>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</si>
  <si>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</si>
  <si>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</si>
  <si>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</si>
  <si>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</si>
  <si>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</si>
  <si>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</si>
  <si>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</si>
  <si>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</si>
  <si>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</si>
  <si>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</si>
  <si>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</si>
  <si>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</si>
  <si>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</si>
  <si>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</si>
  <si>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</si>
  <si>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</si>
  <si>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</si>
  <si>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</si>
  <si>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</si>
  <si>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</si>
  <si>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</si>
  <si>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</si>
  <si>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</si>
  <si>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</si>
  <si>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</si>
  <si>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</si>
  <si>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</si>
  <si>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</si>
  <si>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</si>
  <si>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</si>
  <si>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</si>
  <si>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</si>
  <si>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</si>
  <si>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</si>
  <si>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</si>
  <si>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</si>
  <si>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</si>
  <si>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</si>
  <si>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</si>
  <si>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</si>
  <si>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</si>
  <si>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</si>
  <si>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</si>
  <si>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</si>
  <si>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</si>
  <si>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</si>
  <si>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</si>
  <si>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</si>
  <si>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</si>
  <si>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</si>
  <si>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</si>
  <si>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</si>
  <si>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</si>
  <si>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</si>
  <si>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</si>
  <si>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</si>
  <si>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</si>
  <si>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</si>
  <si>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</si>
  <si>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</si>
  <si>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</si>
  <si>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</si>
  <si>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</si>
  <si>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</si>
  <si>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</si>
  <si>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</si>
  <si>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</si>
  <si>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</si>
  <si>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</si>
  <si>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</si>
  <si>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</si>
  <si>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</si>
  <si>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</si>
  <si>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</si>
  <si>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</si>
  <si>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</si>
  <si>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</si>
  <si>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</si>
  <si>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</si>
  <si>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</si>
  <si>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</si>
  <si>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</si>
  <si>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</si>
  <si>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</si>
  <si>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</si>
  <si>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</si>
  <si>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</si>
  <si>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</si>
  <si>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</si>
  <si>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</si>
  <si>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</si>
  <si>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</si>
  <si>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</si>
  <si>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</si>
  <si>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</si>
  <si>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</si>
  <si>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</si>
  <si>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</si>
  <si>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</si>
  <si>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</si>
  <si>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</si>
  <si>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</si>
  <si>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</si>
  <si>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</si>
  <si>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</si>
  <si>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</si>
  <si>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</si>
  <si>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</si>
  <si>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</si>
  <si>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</si>
  <si>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</si>
  <si>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</si>
  <si>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</si>
  <si>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</si>
  <si>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</si>
  <si>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</si>
  <si>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</si>
  <si>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</si>
  <si>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</si>
  <si>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</si>
  <si>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</si>
  <si>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</si>
  <si>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</si>
  <si>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</si>
  <si>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</si>
  <si>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</si>
  <si>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</si>
  <si>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</si>
  <si>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</si>
  <si>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</si>
  <si>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</si>
  <si>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</si>
  <si>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</si>
  <si>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</si>
  <si>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</si>
  <si>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</si>
  <si>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</si>
  <si>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</si>
  <si>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</si>
  <si>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</si>
  <si>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</si>
  <si>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</si>
  <si>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</si>
  <si>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</si>
  <si>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</si>
  <si>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</si>
  <si>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</si>
  <si>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</si>
  <si>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</si>
  <si>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</si>
  <si>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</si>
  <si>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</si>
  <si>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</si>
  <si>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</si>
  <si>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</si>
  <si>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</si>
  <si>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</si>
  <si>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</si>
  <si>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</si>
  <si>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</si>
  <si>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</si>
  <si>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</si>
  <si>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</si>
  <si>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</si>
  <si>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</si>
  <si>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</si>
  <si>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</si>
  <si>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</si>
  <si>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</si>
  <si>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</si>
  <si>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</si>
  <si>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</si>
  <si>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</si>
  <si>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</si>
  <si>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</si>
  <si>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</si>
  <si>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</si>
  <si>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</si>
  <si>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</si>
  <si>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</si>
  <si>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</si>
  <si>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</si>
  <si>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</si>
  <si>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</si>
  <si>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</si>
  <si>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</si>
  <si>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</si>
  <si>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</si>
  <si>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</si>
  <si>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</si>
  <si>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</si>
  <si>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</si>
  <si>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</si>
  <si>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</si>
  <si>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</si>
  <si>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</si>
  <si>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</si>
  <si>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</si>
  <si>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</si>
  <si>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</si>
  <si>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</si>
  <si>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</si>
  <si>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</si>
  <si>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</si>
  <si>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</si>
  <si>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</si>
  <si>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</si>
  <si>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</si>
  <si>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</si>
  <si>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</si>
  <si>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</si>
  <si>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</si>
  <si>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</si>
  <si>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</si>
  <si>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</si>
  <si>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</si>
  <si>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</si>
  <si>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</si>
  <si>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</si>
  <si>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</si>
  <si>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</si>
  <si>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</si>
  <si>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</si>
  <si>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</si>
  <si>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</si>
  <si>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</si>
  <si>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</si>
  <si>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</si>
  <si>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</si>
  <si>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</si>
  <si>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</si>
  <si>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</si>
  <si>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</si>
  <si>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</si>
  <si>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</si>
  <si>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</si>
  <si>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</si>
  <si>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</si>
  <si>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</si>
  <si>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</si>
  <si>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</si>
  <si>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</si>
  <si>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</si>
  <si>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</si>
  <si>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</si>
  <si>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</si>
  <si>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</si>
  <si>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</si>
  <si>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</si>
  <si>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</si>
  <si>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</si>
  <si>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</si>
  <si>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</si>
  <si>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</si>
  <si>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</si>
  <si>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</si>
  <si>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</si>
  <si>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</si>
  <si>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</si>
  <si>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</si>
  <si>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</si>
  <si>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</si>
  <si>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</si>
  <si>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</si>
  <si>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</si>
  <si>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</si>
  <si>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</si>
  <si>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</si>
  <si>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</si>
  <si>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</si>
  <si>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</si>
  <si>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</si>
  <si>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</si>
  <si>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</si>
  <si>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</si>
  <si>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</si>
  <si>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</si>
  <si>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</si>
  <si>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</si>
  <si>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</si>
  <si>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</si>
  <si>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</si>
  <si>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</si>
  <si>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</si>
  <si>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</si>
  <si>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</si>
  <si>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</si>
  <si>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</si>
  <si>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</si>
  <si>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</si>
  <si>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</si>
  <si>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</si>
  <si>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</si>
  <si>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</si>
  <si>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</si>
  <si>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</si>
  <si>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</si>
  <si>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</si>
  <si>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</si>
  <si>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</si>
  <si>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</si>
  <si>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</si>
  <si>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</si>
  <si>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</si>
  <si>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</si>
  <si>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</si>
  <si>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</si>
  <si>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</si>
  <si>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</si>
  <si>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</si>
  <si>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</si>
  <si>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</si>
  <si>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</si>
  <si>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</si>
  <si>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</si>
  <si>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</si>
  <si>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</si>
  <si>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</si>
  <si>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</si>
  <si>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</si>
  <si>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</si>
  <si>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</si>
  <si>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</si>
  <si>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</si>
  <si>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</si>
  <si>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</si>
  <si>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</si>
  <si>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</si>
  <si>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</si>
  <si>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</si>
  <si>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</si>
  <si>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</si>
  <si>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</si>
  <si>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</si>
  <si>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</si>
  <si>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</si>
  <si>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</si>
  <si>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</si>
  <si>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</si>
  <si>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</si>
  <si>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</si>
  <si>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</si>
  <si>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</si>
  <si>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</si>
  <si>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</si>
  <si>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</si>
  <si>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</si>
  <si>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</si>
  <si>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</si>
  <si>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</si>
  <si>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</si>
  <si>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</si>
  <si>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</si>
  <si>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</si>
  <si>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</si>
  <si>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</si>
  <si>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</si>
  <si>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</si>
  <si>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</si>
  <si>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</si>
  <si>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</si>
  <si>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</si>
  <si>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</si>
  <si>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</si>
  <si>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</si>
  <si>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</si>
  <si>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</si>
  <si>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</si>
  <si>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</si>
  <si>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</si>
  <si>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</si>
  <si>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</si>
  <si>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</si>
  <si>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</si>
  <si>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</si>
  <si>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</si>
  <si>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</si>
  <si>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</si>
  <si>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</si>
  <si>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</si>
  <si>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</si>
  <si>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</si>
  <si>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</si>
  <si>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</si>
  <si>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</si>
  <si>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</si>
  <si>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</si>
  <si>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</si>
  <si>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</si>
  <si>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</si>
  <si>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</si>
  <si>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</si>
  <si>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</si>
  <si>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</si>
  <si>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</si>
  <si>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</si>
  <si>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</si>
  <si>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</si>
  <si>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</si>
  <si>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</si>
  <si>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</si>
  <si>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</si>
  <si>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</si>
  <si>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</si>
  <si>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</si>
  <si>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</si>
  <si>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</si>
  <si>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</si>
  <si>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</si>
  <si>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</si>
  <si>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</si>
  <si>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</si>
  <si>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</si>
  <si>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</si>
  <si>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</si>
  <si>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</si>
  <si>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</si>
  <si>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</si>
  <si>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</si>
  <si>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</si>
  <si>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</si>
  <si>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</si>
  <si>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</si>
  <si>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</si>
  <si>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</si>
  <si>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</si>
  <si>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</si>
  <si>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</si>
  <si>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</si>
  <si>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</si>
  <si>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</si>
  <si>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</si>
  <si>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</si>
  <si>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</si>
  <si>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</si>
  <si>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</si>
  <si>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</si>
  <si>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</si>
  <si>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</si>
  <si>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</si>
  <si>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</si>
  <si>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</si>
  <si>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</si>
  <si>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</si>
  <si>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</si>
  <si>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</si>
  <si>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</si>
  <si>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</si>
  <si>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</si>
  <si>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</si>
  <si>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</si>
  <si>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</si>
  <si>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</si>
  <si>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</si>
  <si>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</si>
  <si>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</si>
  <si>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</si>
  <si>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</si>
  <si>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</si>
  <si>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</si>
  <si>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</si>
  <si>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</si>
  <si>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</si>
  <si>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</si>
  <si>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</si>
  <si>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</si>
  <si>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</si>
  <si>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</si>
  <si>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</si>
  <si>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</si>
  <si>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</si>
  <si>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</si>
  <si>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</si>
  <si>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</si>
  <si>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</si>
  <si>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</si>
  <si>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</si>
  <si>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</si>
  <si>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</si>
  <si>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</si>
  <si>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</si>
  <si>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</si>
  <si>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</si>
  <si>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</si>
  <si>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</si>
  <si>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</si>
  <si>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</si>
  <si>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</si>
  <si>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</si>
  <si>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</si>
  <si>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</si>
  <si>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</si>
  <si>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</si>
  <si>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</si>
  <si>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</si>
  <si>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</si>
  <si>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</si>
  <si>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</si>
  <si>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</si>
  <si>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</si>
  <si>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</si>
  <si>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</si>
  <si>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</si>
  <si>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</si>
  <si>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</si>
  <si>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</si>
  <si>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</si>
  <si>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</si>
  <si>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</si>
  <si>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</si>
  <si>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</si>
  <si>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</si>
  <si>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</si>
  <si>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</si>
  <si>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</si>
  <si>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</si>
  <si>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</si>
  <si>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</si>
  <si>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</si>
  <si>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</si>
  <si>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</si>
  <si>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</si>
  <si>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</si>
  <si>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</si>
  <si>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</si>
  <si>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</si>
  <si>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</si>
  <si>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</si>
  <si>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</si>
  <si>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</si>
  <si>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</si>
  <si>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</si>
  <si>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</si>
  <si>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</si>
  <si>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</si>
  <si>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</si>
  <si>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</si>
  <si>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</si>
  <si>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</si>
  <si>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</si>
  <si>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</si>
  <si>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</si>
  <si>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</si>
  <si>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</si>
  <si>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</si>
  <si>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</si>
  <si>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</si>
  <si>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</si>
  <si>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</si>
  <si>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</si>
  <si>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</si>
  <si>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</si>
  <si>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</si>
  <si>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</si>
  <si>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</si>
  <si>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</si>
  <si>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</si>
  <si>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</si>
  <si>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</si>
  <si>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</si>
  <si>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</si>
  <si>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</si>
  <si>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</si>
  <si>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</si>
  <si>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</si>
  <si>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</si>
  <si>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</si>
  <si>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</si>
  <si>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</si>
  <si>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</si>
  <si>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</si>
  <si>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</si>
  <si>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</si>
  <si>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</si>
  <si>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</si>
  <si>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</si>
  <si>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</si>
  <si>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</si>
  <si>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</si>
  <si>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</si>
  <si>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</si>
  <si>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</si>
  <si>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</si>
  <si>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</si>
  <si>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</si>
  <si>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</si>
  <si>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</si>
  <si>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</si>
  <si>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</si>
  <si>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</si>
  <si>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</si>
  <si>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</si>
  <si>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</si>
  <si>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</si>
  <si>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</si>
  <si>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</si>
  <si>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</si>
  <si>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</si>
  <si>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</si>
  <si>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</si>
  <si>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</si>
  <si>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</si>
  <si>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</si>
  <si>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</si>
  <si>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</si>
  <si>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</si>
  <si>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</si>
  <si>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</si>
  <si>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</si>
  <si>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</si>
  <si>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</si>
  <si>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</si>
  <si>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</si>
  <si>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</si>
  <si>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</si>
  <si>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</si>
  <si>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</si>
  <si>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</si>
  <si>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</si>
  <si>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</si>
  <si>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</si>
  <si>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</si>
  <si>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</si>
  <si>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</si>
  <si>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</si>
  <si>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</si>
  <si>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</si>
  <si>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</si>
  <si>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</si>
  <si>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</si>
  <si>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</si>
  <si>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</si>
  <si>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</si>
  <si>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</si>
  <si>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</si>
  <si>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</si>
  <si>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</si>
  <si>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</si>
  <si>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</si>
  <si>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</si>
  <si>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</si>
  <si>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</si>
  <si>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</si>
  <si>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</si>
  <si>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</si>
  <si>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</si>
  <si>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</si>
  <si>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</si>
  <si>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</si>
  <si>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</si>
  <si>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</si>
  <si>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</si>
  <si>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</si>
  <si>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</si>
  <si>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</si>
  <si>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</si>
  <si>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</si>
  <si>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</si>
  <si>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</si>
  <si>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</si>
  <si>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</si>
  <si>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</si>
  <si>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</si>
  <si>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</si>
  <si>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</si>
  <si>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</si>
  <si>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</si>
  <si>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</si>
  <si>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</si>
  <si>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</si>
  <si>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</si>
  <si>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</si>
  <si>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</si>
  <si>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</si>
  <si>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</si>
  <si>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</si>
  <si>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</si>
  <si>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</si>
  <si>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</si>
  <si>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</si>
  <si>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</si>
  <si>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</si>
  <si>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</si>
  <si>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</si>
  <si>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</si>
  <si>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</si>
  <si>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</si>
  <si>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</si>
  <si>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</si>
  <si>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</si>
  <si>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</si>
  <si>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</si>
  <si>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</si>
  <si>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</si>
  <si>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</si>
  <si>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</si>
  <si>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</si>
  <si>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</si>
  <si>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</si>
  <si>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</si>
  <si>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</si>
  <si>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</si>
  <si>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</si>
  <si>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</si>
  <si>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</si>
  <si>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</si>
  <si>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</si>
  <si>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</si>
  <si>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</si>
  <si>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</si>
  <si>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</si>
  <si>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</si>
  <si>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</si>
  <si>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</si>
  <si>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</si>
  <si>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</si>
  <si>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</si>
  <si>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</si>
  <si>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</si>
  <si>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</si>
  <si>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</si>
  <si>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</si>
  <si>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</si>
  <si>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</si>
  <si>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</si>
  <si>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</si>
  <si>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</si>
  <si>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</si>
  <si>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</si>
  <si>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</si>
  <si>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</si>
  <si>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</si>
  <si>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</si>
  <si>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</si>
  <si>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</si>
  <si>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</si>
  <si>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</si>
  <si>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</si>
  <si>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</si>
  <si>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</si>
  <si>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</si>
  <si>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</si>
  <si>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</si>
  <si>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</si>
  <si>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</si>
  <si>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</si>
  <si>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</si>
  <si>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</si>
  <si>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</si>
  <si>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</si>
  <si>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</si>
  <si>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</si>
  <si>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</si>
  <si>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</si>
  <si>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</si>
  <si>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</si>
  <si>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</si>
  <si>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</si>
  <si>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</si>
  <si>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</si>
  <si>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</si>
  <si>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</si>
  <si>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</si>
  <si>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</si>
  <si>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</si>
  <si>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</si>
  <si>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</si>
  <si>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</si>
  <si>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</si>
  <si>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</si>
  <si>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</si>
  <si>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</si>
  <si>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</si>
  <si>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</si>
  <si>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</si>
  <si>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</si>
  <si>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</si>
  <si>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</si>
  <si>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</si>
  <si>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</si>
  <si>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</si>
  <si>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</si>
  <si>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</si>
  <si>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</si>
  <si>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</si>
  <si>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</si>
  <si>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</si>
  <si>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</si>
  <si>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</si>
  <si>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</si>
  <si>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</si>
  <si>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</si>
  <si>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</si>
  <si>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</si>
  <si>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</si>
  <si>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</si>
  <si>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</si>
  <si>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</si>
  <si>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</si>
  <si>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</si>
  <si>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</si>
  <si>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</si>
  <si>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</si>
  <si>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</si>
  <si>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</si>
  <si>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</si>
  <si>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</si>
  <si>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</si>
  <si>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</si>
  <si>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</si>
  <si>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</si>
  <si>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</si>
  <si>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</si>
  <si>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</si>
  <si>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</si>
  <si>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</si>
  <si>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</si>
  <si>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</si>
  <si>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</si>
  <si>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</si>
  <si>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</si>
  <si>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</si>
  <si>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</si>
  <si>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</si>
  <si>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</si>
  <si>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</si>
  <si>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</si>
  <si>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</si>
  <si>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</si>
  <si>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</si>
  <si>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</si>
  <si>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</si>
  <si>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</si>
  <si>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</si>
  <si>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</si>
  <si>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</si>
  <si>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</si>
  <si>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</si>
  <si>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</si>
  <si>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</si>
  <si>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</si>
  <si>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</si>
  <si>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</si>
  <si>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</si>
  <si>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</si>
  <si>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</si>
  <si>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</si>
  <si>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</si>
  <si>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</si>
  <si>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</si>
  <si>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</si>
  <si>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</si>
  <si>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</si>
  <si>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</si>
  <si>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</si>
  <si>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</si>
  <si>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</si>
  <si>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</si>
  <si>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</si>
  <si>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</si>
  <si>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</si>
  <si>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</si>
  <si>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</si>
  <si>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</si>
  <si>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</si>
  <si>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</si>
  <si>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</si>
  <si>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</si>
  <si>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</si>
  <si>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</si>
  <si>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</si>
  <si>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</si>
  <si>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</si>
  <si>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</si>
  <si>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</si>
  <si>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</si>
  <si>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</si>
  <si>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</si>
  <si>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</si>
  <si>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</si>
  <si>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</si>
  <si>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</si>
  <si>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</si>
  <si>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</si>
  <si>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</si>
  <si>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</si>
  <si>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</si>
  <si>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</si>
  <si>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</si>
  <si>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</si>
  <si>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</si>
  <si>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</si>
  <si>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</si>
  <si>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</si>
  <si>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</si>
  <si>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</si>
  <si>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</si>
  <si>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</si>
  <si>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</si>
  <si>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</si>
  <si>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</si>
  <si>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</si>
  <si>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</si>
  <si>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</si>
  <si>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</si>
  <si>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</si>
  <si>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</si>
  <si>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</si>
  <si>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</si>
  <si>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</si>
  <si>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</si>
  <si>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</si>
  <si>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</si>
  <si>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</si>
  <si>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</si>
  <si>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</si>
  <si>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</si>
  <si>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</si>
  <si>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</si>
  <si>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</si>
  <si>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</si>
  <si>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</si>
  <si>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</si>
  <si>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</si>
  <si>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</si>
  <si>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</si>
  <si>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</si>
  <si>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</si>
  <si>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</si>
  <si>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</si>
  <si>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</si>
  <si>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</si>
  <si>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</si>
  <si>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</si>
  <si>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</si>
  <si>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</si>
  <si>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</si>
  <si>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</si>
  <si>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</si>
  <si>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</si>
  <si>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</si>
  <si>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</si>
  <si>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</si>
  <si>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</si>
  <si>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</si>
  <si>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</si>
  <si>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</si>
  <si>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</si>
  <si>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</si>
  <si>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</si>
  <si>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</si>
  <si>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</si>
  <si>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</si>
  <si>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</si>
  <si>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</si>
  <si>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</si>
  <si>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</si>
  <si>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</si>
  <si>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</si>
  <si>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</si>
  <si>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</si>
  <si>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</si>
  <si>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</si>
  <si>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</si>
  <si>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</si>
  <si>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</si>
  <si>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</si>
  <si>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</si>
  <si>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</si>
  <si>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</si>
  <si>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</si>
  <si>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</si>
  <si>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</si>
  <si>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</si>
  <si>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</si>
  <si>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</si>
  <si>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</si>
  <si>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</si>
  <si>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</si>
  <si>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</si>
  <si>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</si>
  <si>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</si>
  <si>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</si>
  <si>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</si>
  <si>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</si>
  <si>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</si>
  <si>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</si>
  <si>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</si>
  <si>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</si>
  <si>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</si>
  <si>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</si>
  <si>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</si>
  <si>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</si>
  <si>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</si>
  <si>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</si>
  <si>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</si>
  <si>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</si>
  <si>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</si>
  <si>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</si>
  <si>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</si>
  <si>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</si>
  <si>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</si>
  <si>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</si>
  <si>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</si>
  <si>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</si>
  <si>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</si>
  <si>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</si>
  <si>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</si>
  <si>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</si>
  <si>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</si>
  <si>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</si>
  <si>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</si>
  <si>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</si>
  <si>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</si>
  <si>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</si>
  <si>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</si>
  <si>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</si>
  <si>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</si>
  <si>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</si>
  <si>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</si>
  <si>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</si>
  <si>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</si>
  <si>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</si>
  <si>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</si>
  <si>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</si>
  <si>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</si>
  <si>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</si>
  <si>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</si>
  <si>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</si>
  <si>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</si>
  <si>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</si>
  <si>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</si>
  <si>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</si>
  <si>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</si>
  <si>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</si>
  <si>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</si>
  <si>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</si>
  <si>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</si>
  <si>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</si>
  <si>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</si>
  <si>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</si>
  <si>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</si>
  <si>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</si>
  <si>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</si>
  <si>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</si>
  <si>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</si>
  <si>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</si>
  <si>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</si>
  <si>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</si>
  <si>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</si>
  <si>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</si>
  <si>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</si>
  <si>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</si>
  <si>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</si>
  <si>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</si>
  <si>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</si>
  <si>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</si>
  <si>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</si>
  <si>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</si>
  <si>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</si>
  <si>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</si>
  <si>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</si>
  <si>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</si>
  <si>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</si>
  <si>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</si>
  <si>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</si>
  <si>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</si>
  <si>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</si>
  <si>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</si>
  <si>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</si>
  <si>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</si>
  <si>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</si>
  <si>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</si>
  <si>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</si>
  <si>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</si>
  <si>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</si>
  <si>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</si>
  <si>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</si>
  <si>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</si>
  <si>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</si>
  <si>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</si>
  <si>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</si>
  <si>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</si>
  <si>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</si>
  <si>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</si>
  <si>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</si>
  <si>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</si>
  <si>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</si>
  <si>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</si>
  <si>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</si>
  <si>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</si>
  <si>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</si>
  <si>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</si>
  <si>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</si>
  <si>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</si>
  <si>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</si>
  <si>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</si>
  <si>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</si>
  <si>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</si>
  <si>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</si>
  <si>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</si>
  <si>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</si>
  <si>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</si>
  <si>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</si>
  <si>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</si>
  <si>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</si>
  <si>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</si>
  <si>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</si>
  <si>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</si>
  <si>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</si>
  <si>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</si>
  <si>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</si>
  <si>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</si>
  <si>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</si>
  <si>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</si>
  <si>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</si>
  <si>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</si>
  <si>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</si>
  <si>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</si>
  <si>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</si>
  <si>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</si>
  <si>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</si>
  <si>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</si>
  <si>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</si>
  <si>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</si>
  <si>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</si>
  <si>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</si>
  <si>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</si>
  <si>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</si>
  <si>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</si>
  <si>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</si>
  <si>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</si>
  <si>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</si>
  <si>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</si>
  <si>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</si>
  <si>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</si>
  <si>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</si>
  <si>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</si>
  <si>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</si>
  <si>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</si>
  <si>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</si>
  <si>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</si>
  <si>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</si>
  <si>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</si>
  <si>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</si>
  <si>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</si>
  <si>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</si>
  <si>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</si>
  <si>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</si>
  <si>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</si>
  <si>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</si>
  <si>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</si>
  <si>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</si>
  <si>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</si>
  <si>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</si>
  <si>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</si>
  <si>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</si>
  <si>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</si>
  <si>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</si>
  <si>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</si>
  <si>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</si>
  <si>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</si>
  <si>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</si>
  <si>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</si>
  <si>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</si>
  <si>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</si>
  <si>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</si>
  <si>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</si>
  <si>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</si>
  <si>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</si>
  <si>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</si>
  <si>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</si>
  <si>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</si>
  <si>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</si>
  <si>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</si>
  <si>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</si>
  <si>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</si>
  <si>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</si>
  <si>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</si>
  <si>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</si>
  <si>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</si>
  <si>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</si>
  <si>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</si>
  <si>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</si>
  <si>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</si>
  <si>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</si>
  <si>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</si>
  <si>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</si>
  <si>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</si>
  <si>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</si>
  <si>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</si>
  <si>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</si>
  <si>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</si>
  <si>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</si>
  <si>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</si>
  <si>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</si>
  <si>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</si>
  <si>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</si>
  <si>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</si>
  <si>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</si>
  <si>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</si>
  <si>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</si>
  <si>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</si>
  <si>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</si>
  <si>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</si>
  <si>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</si>
  <si>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</si>
  <si>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</si>
  <si>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</si>
  <si>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</si>
  <si>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</si>
  <si>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</si>
  <si>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</si>
  <si>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</si>
  <si>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</si>
  <si>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</si>
  <si>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</si>
  <si>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</si>
  <si>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</si>
  <si>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</si>
  <si>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</si>
  <si>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</si>
  <si>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</si>
  <si>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</si>
  <si>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</si>
  <si>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</si>
  <si>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</si>
  <si>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</si>
  <si>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</si>
  <si>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</si>
  <si>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</si>
  <si>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</si>
  <si>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</si>
  <si>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</si>
  <si>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</si>
  <si>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</si>
  <si>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</si>
  <si>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</si>
  <si>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</si>
  <si>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</si>
  <si>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</si>
  <si>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</si>
  <si>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</si>
  <si>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</si>
  <si>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</si>
  <si>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</si>
  <si>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</si>
  <si>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</si>
  <si>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</si>
  <si>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</si>
  <si>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</si>
  <si>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</si>
  <si>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</si>
  <si>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</si>
  <si>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</si>
  <si>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</si>
  <si>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</si>
  <si>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</si>
  <si>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</si>
  <si>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</si>
  <si>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</si>
  <si>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</si>
  <si>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</si>
  <si>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</si>
  <si>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</si>
  <si>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</si>
  <si>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</si>
  <si>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</si>
  <si>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</si>
  <si>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</si>
  <si>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</si>
  <si>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</si>
  <si>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</si>
  <si>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</si>
  <si>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</si>
  <si>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</si>
  <si>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</si>
  <si>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</si>
  <si>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</si>
  <si>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</si>
  <si>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</si>
  <si>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</si>
  <si>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</si>
  <si>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</si>
  <si>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</si>
  <si>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</si>
  <si>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</si>
  <si>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</si>
  <si>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</si>
  <si>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</si>
  <si>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</si>
  <si>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</si>
  <si>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</si>
  <si>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</si>
  <si>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</si>
  <si>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</si>
  <si>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</si>
  <si>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</si>
  <si>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</si>
  <si>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</si>
  <si>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</si>
  <si>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</si>
  <si>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</si>
  <si>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</si>
  <si>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</si>
  <si>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</si>
  <si>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</si>
  <si>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</si>
  <si>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</si>
  <si>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</si>
  <si>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</si>
  <si>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</si>
  <si>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</si>
  <si>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</si>
  <si>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</si>
  <si>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</si>
  <si>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</si>
  <si>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</si>
  <si>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</si>
  <si>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</si>
  <si>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</si>
  <si>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</si>
  <si>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</si>
  <si>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</si>
  <si>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</si>
  <si>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</si>
  <si>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</si>
  <si>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</si>
  <si>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</si>
  <si>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</si>
  <si>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</si>
  <si>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</si>
  <si>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</si>
  <si>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</si>
  <si>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</si>
  <si>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</si>
  <si>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</si>
  <si>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</si>
  <si>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</si>
  <si>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</si>
  <si>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</si>
  <si>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</si>
  <si>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</si>
  <si>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</si>
  <si>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</si>
  <si>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</si>
  <si>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</si>
  <si>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</si>
  <si>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</si>
  <si>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</si>
  <si>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</si>
  <si>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</si>
  <si>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</si>
  <si>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</si>
  <si>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</si>
  <si>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</si>
  <si>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</si>
  <si>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</si>
  <si>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</si>
  <si>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</si>
  <si>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</si>
  <si>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</si>
  <si>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</si>
  <si>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</si>
  <si>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</si>
  <si>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</si>
  <si>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</si>
  <si>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</si>
  <si>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</si>
  <si>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</si>
  <si>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</si>
  <si>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</si>
  <si>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</si>
  <si>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</si>
  <si>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</si>
  <si>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</si>
  <si>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</si>
  <si>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</si>
  <si>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</si>
  <si>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</si>
  <si>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</si>
  <si>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</si>
  <si>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</si>
  <si>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</si>
  <si>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</si>
  <si>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</si>
  <si>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</si>
  <si>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</si>
  <si>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</si>
  <si>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</si>
  <si>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</si>
  <si>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</si>
  <si>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</si>
  <si>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</si>
  <si>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</si>
  <si>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</si>
  <si>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</si>
  <si>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</si>
  <si>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</si>
  <si>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</si>
  <si>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</si>
  <si>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</si>
  <si>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</si>
  <si>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</si>
  <si>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</si>
  <si>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</si>
  <si>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</si>
  <si>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</si>
  <si>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</si>
  <si>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</si>
  <si>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</si>
  <si>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</si>
  <si>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</si>
  <si>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</si>
  <si>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</si>
  <si>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</si>
  <si>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</si>
  <si>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</si>
  <si>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</si>
  <si>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</si>
  <si>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</si>
  <si>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</si>
  <si>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</si>
  <si>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</si>
  <si>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</si>
  <si>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</si>
  <si>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</si>
  <si>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</si>
  <si>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</si>
  <si>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</si>
  <si>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</si>
  <si>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</si>
  <si>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</si>
  <si>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</si>
  <si>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</si>
  <si>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</si>
  <si>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</si>
  <si>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</si>
  <si>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</si>
  <si>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</si>
  <si>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</si>
  <si>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</si>
  <si>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</si>
  <si>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</si>
  <si>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</si>
  <si>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</si>
  <si>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</si>
  <si>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</si>
  <si>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</si>
  <si>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</si>
  <si>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</si>
  <si>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</si>
  <si>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</si>
  <si>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</si>
  <si>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</si>
  <si>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</si>
  <si>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</si>
  <si>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</si>
  <si>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</si>
  <si>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</si>
  <si>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</si>
  <si>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</si>
  <si>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</si>
  <si>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</si>
  <si>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</si>
  <si>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</si>
  <si>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</si>
  <si>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</si>
  <si>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</si>
  <si>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</si>
  <si>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</si>
  <si>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</si>
  <si>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</si>
  <si>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</si>
  <si>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</si>
  <si>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</si>
  <si>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</si>
  <si>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</si>
  <si>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</si>
  <si>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</si>
  <si>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</si>
  <si>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</si>
  <si>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</si>
  <si>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</si>
  <si>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</si>
  <si>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</si>
  <si>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</si>
  <si>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</si>
  <si>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</si>
  <si>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</si>
  <si>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</si>
  <si>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</si>
  <si>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</si>
  <si>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</si>
  <si>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</si>
  <si>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</si>
  <si>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</si>
  <si>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</si>
  <si>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</si>
  <si>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</si>
  <si>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</si>
  <si>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</si>
  <si>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</si>
  <si>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</si>
  <si>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</si>
  <si>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</si>
  <si>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</si>
  <si>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</si>
  <si>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</si>
  <si>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</si>
  <si>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</si>
  <si>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</si>
  <si>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</si>
  <si>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</si>
  <si>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</si>
  <si>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</si>
  <si>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</si>
  <si>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</si>
  <si>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</si>
  <si>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</si>
  <si>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</si>
  <si>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</si>
  <si>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</si>
  <si>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</si>
  <si>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</si>
  <si>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</si>
  <si>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</si>
  <si>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</si>
  <si>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</si>
  <si>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</si>
  <si>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</si>
  <si>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</si>
  <si>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</si>
  <si>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</si>
  <si>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</si>
  <si>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</si>
  <si>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</si>
  <si>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</si>
  <si>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</si>
  <si>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</si>
  <si>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</si>
  <si>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</si>
  <si>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</si>
  <si>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</si>
  <si>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</si>
  <si>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</si>
  <si>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</si>
  <si>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</si>
  <si>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</si>
  <si>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</si>
  <si>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</si>
  <si>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</si>
  <si>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</si>
  <si>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</si>
  <si>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</si>
  <si>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</si>
  <si>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</si>
  <si>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</si>
  <si>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</si>
  <si>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</si>
  <si>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</si>
  <si>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</si>
  <si>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</si>
  <si>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</si>
  <si>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</si>
  <si>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</si>
  <si>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</si>
  <si>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</si>
  <si>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</si>
  <si>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</si>
  <si>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</si>
  <si>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</si>
  <si>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</si>
  <si>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</si>
  <si>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</si>
  <si>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</si>
  <si>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</si>
  <si>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</si>
  <si>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</si>
  <si>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</si>
  <si>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</si>
  <si>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</si>
  <si>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</si>
  <si>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</si>
  <si>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</si>
  <si>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</si>
  <si>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</si>
  <si>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</si>
  <si>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</si>
  <si>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</si>
  <si>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</si>
  <si>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</si>
  <si>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</si>
  <si>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</si>
  <si>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</si>
  <si>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</si>
  <si>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</si>
  <si>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</si>
  <si>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</si>
  <si>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</si>
  <si>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</si>
  <si>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</si>
  <si>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</si>
  <si>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</si>
  <si>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</si>
  <si>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</si>
  <si>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</si>
  <si>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</si>
  <si>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</si>
  <si>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</si>
  <si>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</si>
  <si>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</si>
  <si>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</si>
  <si>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</si>
  <si>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</si>
  <si>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</si>
  <si>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</si>
  <si>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</si>
  <si>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</si>
  <si>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</si>
  <si>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</si>
  <si>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</si>
  <si>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</si>
  <si>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</si>
  <si>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</si>
  <si>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</si>
  <si>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</si>
  <si>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</si>
  <si>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</si>
  <si>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</si>
  <si>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</si>
  <si>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</si>
  <si>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</si>
  <si>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</si>
  <si>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</si>
  <si>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</si>
  <si>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</si>
  <si>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</si>
  <si>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</si>
  <si>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</si>
  <si>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</si>
  <si>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</si>
  <si>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</si>
  <si>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</si>
  <si>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</si>
  <si>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</si>
  <si>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</si>
  <si>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</si>
  <si>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</si>
  <si>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</si>
  <si>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</si>
  <si>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</si>
  <si>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</si>
  <si>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</si>
  <si>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</si>
  <si>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</si>
  <si>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</si>
  <si>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</si>
  <si>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</si>
  <si>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</si>
  <si>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</si>
  <si>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</si>
  <si>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</si>
  <si>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</si>
  <si>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</si>
  <si>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</si>
  <si>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</si>
  <si>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</si>
  <si>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</si>
  <si>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</si>
  <si>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</si>
  <si>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</si>
  <si>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</si>
  <si>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</si>
  <si>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</si>
  <si>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</si>
  <si>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</si>
  <si>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</si>
  <si>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</si>
  <si>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</si>
  <si>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</si>
  <si>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</si>
  <si>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</si>
  <si>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</si>
  <si>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</si>
  <si>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</si>
  <si>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</si>
  <si>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</si>
  <si>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</si>
  <si>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</si>
  <si>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</si>
  <si>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</si>
  <si>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</si>
  <si>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</si>
  <si>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</si>
  <si>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</si>
  <si>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</si>
  <si>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</si>
  <si>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</si>
  <si>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</si>
  <si>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</si>
  <si>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</si>
  <si>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</si>
  <si>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</si>
  <si>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</si>
  <si>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</si>
  <si>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</si>
  <si>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</si>
  <si>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</si>
  <si>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</si>
  <si>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</si>
  <si>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</si>
  <si>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</si>
  <si>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</si>
  <si>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</si>
  <si>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</si>
  <si>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</si>
  <si>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</si>
  <si>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</si>
  <si>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</si>
  <si>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</si>
  <si>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</si>
  <si>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</si>
  <si>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</si>
  <si>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</si>
  <si>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</si>
  <si>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</si>
  <si>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</si>
  <si>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</si>
  <si>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</si>
  <si>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</si>
  <si>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</si>
  <si>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</si>
  <si>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</si>
  <si>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</si>
  <si>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</si>
  <si>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</si>
  <si>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</si>
  <si>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</si>
  <si>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</si>
  <si>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</si>
  <si>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</si>
  <si>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</si>
  <si>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</si>
  <si>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</si>
  <si>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</si>
  <si>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</si>
  <si>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</si>
  <si>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</si>
  <si>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</si>
  <si>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</si>
  <si>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</si>
  <si>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</si>
  <si>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</si>
  <si>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</si>
  <si>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</si>
  <si>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</si>
  <si>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</si>
  <si>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</si>
  <si>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</si>
  <si>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</si>
  <si>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</si>
  <si>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</si>
  <si>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</si>
  <si>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</si>
  <si>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</si>
  <si>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</si>
  <si>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</si>
  <si>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</si>
  <si>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</si>
  <si>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</si>
  <si>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</si>
  <si>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</si>
  <si>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</si>
  <si>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</si>
  <si>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</si>
  <si>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</si>
  <si>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</si>
  <si>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</si>
  <si>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</si>
  <si>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</si>
  <si>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</si>
  <si>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</si>
  <si>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</si>
  <si>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</si>
  <si>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</si>
  <si>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</si>
  <si>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</si>
  <si>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</si>
  <si>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</si>
  <si>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</si>
  <si>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</si>
  <si>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</si>
  <si>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</si>
  <si>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</si>
  <si>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</si>
  <si>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</si>
  <si>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</si>
  <si>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</si>
  <si>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</si>
  <si>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</si>
  <si>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</si>
  <si>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</si>
  <si>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</si>
  <si>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</si>
  <si>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</si>
  <si>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</si>
  <si>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</si>
  <si>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</si>
  <si>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</si>
  <si>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</si>
  <si>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</si>
  <si>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</si>
  <si>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</si>
  <si>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</si>
  <si>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</si>
  <si>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</si>
  <si>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</si>
  <si>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</si>
  <si>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</si>
  <si>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</si>
  <si>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</si>
  <si>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</si>
  <si>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</si>
  <si>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</si>
  <si>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</si>
  <si>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</si>
  <si>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</si>
  <si>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</si>
  <si>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</si>
  <si>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</si>
  <si>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</si>
  <si>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</si>
  <si>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</si>
  <si>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</si>
  <si>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</si>
  <si>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</si>
  <si>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</si>
  <si>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</si>
  <si>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</si>
  <si>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</si>
  <si>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</si>
  <si>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</si>
  <si>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</si>
  <si>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</si>
  <si>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</si>
  <si>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</si>
  <si>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</si>
  <si>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</si>
  <si>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</si>
  <si>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</si>
  <si>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</si>
  <si>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</si>
  <si>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</si>
  <si>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</si>
  <si>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</si>
  <si>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</si>
  <si>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</si>
  <si>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</si>
  <si>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</si>
  <si>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</si>
  <si>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</si>
  <si>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</si>
  <si>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</si>
  <si>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</si>
  <si>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</si>
  <si>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</si>
  <si>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</si>
  <si>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</si>
  <si>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</si>
  <si>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</si>
  <si>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</si>
  <si>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</si>
  <si>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</si>
  <si>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</si>
  <si>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</si>
  <si>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</si>
  <si>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</si>
  <si>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</si>
  <si>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</si>
  <si>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</si>
  <si>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</si>
  <si>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</si>
  <si>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</si>
  <si>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</si>
  <si>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</si>
  <si>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</si>
  <si>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</si>
  <si>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</si>
  <si>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</si>
  <si>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</si>
  <si>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</si>
  <si>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</si>
  <si>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</si>
  <si>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</si>
  <si>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</si>
  <si>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</si>
  <si>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</si>
  <si>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</si>
  <si>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</si>
  <si>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</si>
  <si>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</si>
  <si>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</si>
  <si>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</si>
  <si>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</si>
  <si>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</si>
  <si>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</si>
  <si>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</si>
  <si>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</si>
  <si>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</si>
  <si>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</si>
  <si>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</si>
  <si>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</si>
  <si>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</si>
  <si>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</si>
  <si>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</si>
  <si>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</si>
  <si>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</si>
  <si>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</si>
  <si>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</si>
  <si>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</si>
  <si>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</si>
  <si>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</si>
  <si>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</si>
  <si>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</si>
  <si>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</si>
  <si>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</si>
  <si>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</si>
  <si>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</si>
  <si>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</si>
  <si>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</si>
  <si>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</si>
  <si>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</si>
  <si>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</si>
  <si>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</si>
  <si>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</si>
  <si>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</si>
  <si>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</si>
  <si>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</si>
  <si>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</si>
  <si>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</si>
  <si>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</si>
  <si>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</si>
  <si>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</si>
  <si>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</si>
  <si>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</si>
  <si>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</si>
  <si>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</si>
  <si>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</si>
  <si>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</si>
  <si>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</si>
  <si>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</si>
  <si>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</si>
  <si>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</si>
  <si>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</si>
  <si>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</si>
  <si>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</si>
  <si>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</si>
  <si>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</si>
  <si>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</si>
  <si>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</si>
  <si>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</si>
  <si>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</si>
  <si>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</si>
  <si>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</si>
  <si>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</si>
  <si>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</si>
  <si>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</si>
  <si>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</si>
  <si>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</si>
  <si>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</si>
  <si>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</si>
  <si>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</si>
  <si>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</si>
  <si>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</si>
  <si>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</si>
  <si>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</si>
  <si>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</si>
  <si>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</si>
  <si>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</si>
  <si>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</si>
  <si>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</si>
  <si>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</si>
  <si>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</si>
  <si>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</si>
  <si>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</si>
  <si>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</si>
  <si>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</si>
  <si>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</si>
  <si>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</si>
  <si>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</si>
  <si>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</si>
  <si>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</si>
  <si>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</si>
  <si>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</si>
  <si>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</si>
  <si>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</si>
  <si>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</si>
  <si>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</si>
  <si>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</si>
  <si>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</si>
  <si>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</si>
  <si>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</si>
  <si>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</si>
  <si>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</si>
  <si>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</si>
  <si>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</si>
  <si>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</si>
  <si>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</si>
  <si>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</si>
  <si>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</si>
  <si>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</si>
  <si>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</si>
  <si>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</si>
  <si>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</si>
  <si>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</si>
  <si>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</si>
  <si>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</si>
  <si>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</si>
  <si>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</si>
  <si>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</si>
  <si>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</si>
  <si>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</si>
  <si>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</si>
  <si>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</si>
  <si>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</si>
  <si>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</si>
  <si>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</si>
  <si>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</si>
  <si>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</si>
  <si>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</si>
  <si>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</si>
  <si>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</si>
  <si>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</si>
  <si>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</si>
  <si>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</si>
  <si>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</si>
  <si>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</si>
  <si>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</si>
  <si>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</si>
  <si>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</si>
  <si>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</si>
  <si>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</si>
  <si>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</si>
  <si>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</si>
  <si>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</si>
  <si>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</si>
  <si>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</si>
  <si>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</si>
  <si>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</si>
  <si>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</si>
  <si>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</si>
  <si>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</si>
  <si>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</si>
  <si>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</si>
  <si>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</si>
  <si>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</si>
  <si>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</si>
  <si>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</si>
  <si>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</si>
  <si>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</si>
  <si>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</si>
  <si>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</si>
  <si>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</si>
  <si>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</si>
  <si>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</si>
  <si>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</si>
  <si>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</si>
  <si>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</si>
  <si>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</si>
  <si>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</si>
  <si>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</si>
  <si>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</si>
  <si>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</si>
  <si>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</si>
  <si>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</si>
  <si>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</si>
  <si>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</si>
  <si>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</si>
  <si>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</si>
  <si>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</si>
  <si>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</si>
  <si>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</si>
  <si>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</si>
  <si>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</si>
  <si>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</si>
  <si>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</si>
  <si>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</si>
  <si>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</si>
  <si>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</si>
  <si>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</si>
  <si>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</si>
  <si>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</si>
  <si>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</si>
  <si>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</si>
  <si>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</si>
  <si>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</si>
  <si>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</si>
  <si>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</si>
  <si>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</si>
  <si>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</si>
  <si>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</si>
  <si>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</si>
  <si>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</si>
  <si>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</si>
  <si>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</si>
  <si>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</si>
  <si>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</si>
  <si>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</si>
  <si>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</si>
  <si>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</si>
  <si>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</si>
  <si>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</si>
  <si>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</si>
  <si>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</si>
  <si>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</si>
  <si>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</si>
  <si>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</si>
  <si>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</si>
  <si>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</si>
  <si>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</si>
  <si>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</si>
  <si>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</si>
  <si>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</si>
  <si>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</si>
  <si>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</si>
  <si>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</si>
  <si>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</si>
  <si>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</si>
  <si>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</si>
  <si>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</si>
  <si>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</si>
  <si>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</si>
  <si>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</si>
  <si>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</si>
  <si>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</si>
  <si>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</si>
  <si>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</si>
  <si>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</si>
  <si>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</si>
  <si>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</si>
  <si>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</si>
  <si>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</si>
  <si>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</si>
  <si>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</si>
  <si>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</si>
  <si>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</si>
  <si>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</si>
  <si>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</si>
  <si>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</si>
  <si>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</si>
  <si>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</si>
  <si>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</si>
  <si>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</si>
  <si>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</si>
  <si>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</si>
  <si>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</si>
  <si>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</si>
  <si>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</si>
  <si>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</si>
  <si>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</si>
  <si>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</si>
  <si>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</si>
  <si>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</si>
  <si>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</si>
  <si>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</si>
  <si>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</si>
  <si>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</si>
  <si>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</si>
  <si>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</si>
  <si>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</si>
  <si>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</si>
  <si>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</si>
  <si>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</si>
  <si>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</si>
  <si>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</si>
  <si>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</si>
  <si>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</si>
  <si>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</si>
  <si>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</si>
  <si>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</si>
  <si>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</si>
  <si>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</si>
  <si>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</si>
  <si>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</si>
  <si>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</si>
  <si>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</si>
  <si>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</si>
  <si>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</si>
  <si>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</si>
  <si>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</si>
  <si>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</si>
  <si>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</si>
  <si>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</si>
  <si>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</si>
  <si>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</si>
  <si>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</si>
  <si>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</si>
  <si>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</si>
  <si>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</si>
  <si>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</si>
  <si>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</si>
  <si>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</si>
  <si>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</si>
  <si>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</si>
  <si>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</si>
  <si>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</si>
  <si>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</si>
  <si>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</si>
  <si>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</si>
  <si>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</si>
  <si>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</si>
  <si>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</si>
  <si>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</si>
  <si>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</si>
  <si>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</si>
  <si>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</si>
  <si>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</si>
  <si>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</si>
  <si>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</si>
  <si>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</si>
  <si>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</si>
  <si>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</si>
  <si>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</si>
  <si>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</si>
  <si>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</si>
  <si>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</si>
  <si>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</si>
  <si>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</si>
  <si>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</si>
  <si>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</si>
  <si>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</si>
  <si>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</si>
  <si>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</si>
  <si>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</si>
  <si>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</si>
  <si>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</si>
  <si>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</si>
  <si>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</si>
  <si>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</si>
  <si>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</si>
  <si>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</si>
  <si>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</si>
  <si>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</si>
  <si>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</si>
  <si>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</si>
  <si>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</si>
  <si>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</si>
  <si>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</si>
  <si>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</si>
  <si>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</si>
  <si>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</si>
  <si>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</si>
  <si>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</si>
  <si>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</si>
  <si>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</si>
  <si>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</si>
  <si>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</si>
  <si>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</si>
  <si>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</si>
  <si>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</si>
  <si>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</si>
  <si>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</si>
  <si>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</si>
  <si>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</si>
  <si>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</si>
  <si>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</si>
  <si>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</si>
  <si>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</si>
  <si>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</si>
  <si>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</si>
  <si>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</si>
  <si>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</si>
  <si>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</si>
  <si>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</si>
  <si>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</si>
  <si>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</si>
  <si>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</si>
  <si>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</si>
  <si>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</si>
  <si>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</si>
  <si>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</si>
  <si>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</si>
  <si>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</si>
  <si>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</si>
  <si>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</si>
  <si>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</si>
  <si>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</si>
  <si>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</si>
  <si>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</si>
  <si>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</si>
  <si>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</si>
  <si>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</si>
  <si>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</si>
  <si>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</si>
  <si>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</si>
  <si>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</si>
  <si>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</si>
  <si>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</si>
  <si>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</si>
  <si>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</si>
  <si>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</si>
  <si>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</si>
  <si>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</si>
  <si>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</si>
  <si>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</si>
  <si>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</si>
  <si>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</si>
  <si>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</si>
  <si>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</si>
  <si>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</si>
  <si>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</si>
  <si>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</si>
  <si>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</si>
  <si>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</si>
  <si>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</si>
  <si>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</si>
  <si>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</si>
  <si>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</si>
  <si>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</si>
  <si>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</si>
  <si>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</si>
  <si>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</si>
  <si>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</si>
  <si>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</si>
  <si>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</si>
  <si>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</si>
  <si>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</si>
  <si>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</si>
  <si>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</si>
  <si>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</si>
  <si>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</si>
  <si>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</si>
  <si>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</si>
  <si>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</si>
  <si>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</si>
  <si>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</si>
  <si>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</si>
  <si>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</si>
  <si>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</si>
  <si>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</si>
  <si>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</si>
  <si>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</si>
  <si>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</si>
  <si>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</si>
  <si>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</si>
  <si>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</si>
  <si>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</si>
  <si>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</si>
  <si>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</si>
  <si>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</si>
  <si>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</si>
  <si>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</si>
  <si>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</si>
  <si>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</si>
  <si>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</si>
  <si>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</si>
  <si>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</si>
  <si>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</si>
  <si>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</si>
  <si>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</si>
  <si>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</si>
  <si>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</si>
  <si>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</si>
  <si>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</si>
  <si>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</si>
  <si>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</si>
  <si>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</si>
  <si>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</si>
  <si>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</si>
  <si>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</si>
  <si>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</si>
  <si>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</si>
  <si>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</si>
  <si>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</si>
  <si>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</si>
  <si>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</si>
  <si>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</si>
  <si>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</si>
  <si>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</si>
  <si>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</si>
  <si>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</si>
  <si>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</si>
  <si>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</si>
  <si>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</si>
  <si>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</si>
  <si>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</si>
  <si>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</si>
  <si>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</si>
  <si>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</si>
  <si>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</si>
  <si>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</si>
  <si>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</si>
  <si>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</si>
  <si>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</si>
  <si>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</si>
  <si>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</si>
  <si>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</si>
  <si>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</si>
  <si>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</si>
  <si>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</si>
  <si>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</si>
  <si>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</si>
  <si>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</si>
  <si>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</si>
  <si>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</si>
  <si>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</si>
  <si>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</si>
  <si>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</si>
  <si>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</si>
  <si>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</si>
  <si>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</si>
  <si>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</si>
  <si>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</si>
  <si>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</si>
  <si>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</si>
  <si>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</si>
  <si>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</si>
  <si>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</si>
  <si>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</si>
  <si>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</si>
  <si>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</si>
  <si>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</si>
  <si>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</si>
  <si>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</si>
  <si>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</si>
  <si>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</si>
  <si>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</si>
  <si>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</si>
  <si>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</si>
  <si>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</si>
  <si>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</si>
  <si>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</si>
  <si>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</si>
  <si>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</si>
  <si>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</si>
  <si>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</si>
  <si>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</si>
  <si>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</si>
  <si>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</si>
  <si>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</si>
  <si>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</si>
  <si>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</si>
  <si>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</si>
  <si>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</si>
  <si>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</si>
  <si>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</si>
  <si>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</si>
  <si>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</si>
  <si>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</si>
  <si>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</si>
  <si>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</si>
  <si>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</si>
  <si>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</si>
  <si>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</si>
  <si>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</si>
  <si>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</si>
  <si>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</si>
  <si>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</si>
  <si>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</si>
  <si>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</si>
  <si>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</si>
  <si>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</si>
  <si>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</si>
  <si>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</si>
  <si>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</si>
  <si>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</si>
  <si>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</si>
  <si>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</si>
  <si>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</si>
  <si>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</si>
  <si>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</si>
  <si>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</si>
  <si>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</si>
  <si>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</si>
  <si>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</si>
  <si>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</si>
  <si>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</si>
  <si>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</si>
  <si>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</si>
  <si>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</si>
  <si>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</si>
  <si>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</si>
  <si>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</si>
  <si>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</si>
  <si>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</si>
  <si>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</si>
  <si>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</si>
  <si>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</si>
  <si>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</si>
  <si>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</si>
  <si>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</si>
  <si>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</si>
  <si>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</si>
  <si>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</si>
  <si>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</si>
  <si>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</si>
  <si>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</si>
  <si>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</si>
  <si>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</si>
  <si>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</si>
  <si>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</si>
  <si>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</si>
  <si>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</si>
  <si>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</si>
  <si>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</si>
  <si>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</si>
  <si>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</si>
  <si>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</si>
  <si>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</si>
  <si>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</si>
  <si>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</si>
  <si>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</si>
  <si>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</si>
  <si>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</si>
  <si>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</si>
  <si>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</si>
  <si>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</si>
  <si>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</si>
  <si>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</si>
  <si>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</si>
  <si>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</si>
  <si>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</si>
  <si>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</si>
  <si>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</si>
  <si>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</si>
  <si>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</si>
  <si>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</si>
  <si>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</si>
  <si>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</si>
  <si>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</si>
  <si>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</si>
  <si>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</si>
  <si>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</si>
  <si>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</si>
  <si>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</si>
  <si>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</si>
  <si>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</si>
  <si>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</si>
  <si>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</si>
  <si>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</si>
  <si>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</si>
  <si>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</si>
  <si>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</si>
  <si>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</si>
  <si>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</si>
  <si>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</si>
  <si>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</si>
  <si>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</si>
  <si>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</si>
  <si>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</si>
  <si>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</si>
  <si>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</si>
  <si>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</si>
  <si>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</si>
  <si>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</si>
  <si>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</si>
  <si>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</si>
  <si>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</si>
  <si>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</si>
  <si>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</si>
  <si>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</si>
  <si>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</si>
  <si>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</si>
  <si>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</si>
  <si>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</si>
  <si>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</si>
  <si>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</si>
  <si>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</si>
  <si>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</si>
  <si>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</si>
  <si>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</si>
  <si>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</si>
  <si>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</si>
  <si>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</si>
  <si>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</si>
  <si>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</si>
  <si>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</si>
  <si>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</si>
  <si>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</si>
  <si>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</si>
  <si>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</si>
  <si>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</si>
  <si>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</si>
  <si>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</si>
  <si>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</si>
  <si>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</si>
  <si>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</si>
  <si>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</si>
  <si>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</si>
  <si>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</si>
  <si>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</si>
  <si>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</si>
  <si>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</si>
  <si>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</si>
  <si>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</si>
  <si>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</si>
  <si>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</si>
  <si>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</si>
  <si>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</si>
  <si>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</si>
  <si>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</si>
  <si>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</si>
  <si>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</si>
  <si>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</si>
  <si>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</si>
  <si>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</si>
  <si>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</si>
  <si>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</si>
  <si>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</si>
  <si>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</si>
  <si>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</si>
  <si>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</si>
  <si>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</si>
  <si>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</si>
  <si>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</si>
  <si>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</si>
  <si>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</si>
  <si>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</si>
  <si>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</si>
  <si>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</si>
  <si>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</si>
  <si>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</si>
  <si>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</si>
  <si>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</si>
  <si>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</si>
  <si>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</si>
  <si>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</si>
  <si>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</si>
  <si>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</si>
  <si>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</si>
  <si>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</si>
  <si>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</si>
  <si>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</si>
  <si>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</si>
  <si>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</si>
  <si>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</si>
  <si>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</si>
  <si>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</si>
  <si>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</si>
  <si>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</si>
  <si>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</si>
  <si>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</si>
  <si>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</si>
  <si>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</si>
  <si>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</si>
  <si>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</si>
  <si>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</si>
  <si>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</si>
  <si>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</si>
  <si>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</si>
  <si>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</si>
  <si>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</si>
  <si>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</si>
  <si>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</si>
  <si>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</si>
  <si>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</si>
  <si>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</si>
  <si>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</si>
  <si>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</si>
  <si>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</si>
  <si>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</si>
  <si>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</si>
  <si>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</si>
  <si>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</si>
  <si>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</si>
  <si>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</si>
  <si>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</si>
  <si>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</si>
  <si>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</si>
  <si>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</si>
  <si>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</si>
  <si>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</si>
  <si>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</si>
  <si>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</si>
  <si>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</si>
  <si>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</si>
  <si>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</si>
  <si>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</si>
  <si>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</si>
  <si>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</si>
  <si>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</si>
  <si>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</si>
  <si>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</si>
  <si>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</si>
  <si>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</si>
  <si>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</si>
  <si>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</si>
  <si>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</si>
  <si>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</si>
  <si>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</si>
  <si>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</si>
  <si>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</si>
  <si>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</si>
  <si>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</si>
  <si>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</si>
  <si>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</si>
  <si>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</si>
  <si>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</si>
  <si>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</si>
  <si>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</si>
  <si>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</si>
  <si>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</si>
  <si>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</si>
  <si>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</si>
  <si>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</si>
  <si>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</si>
  <si>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</si>
  <si>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</si>
  <si>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</si>
  <si>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</si>
  <si>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</si>
  <si>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</si>
  <si>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</si>
  <si>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</si>
  <si>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</si>
  <si>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</si>
  <si>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</si>
  <si>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</si>
  <si>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</si>
  <si>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</si>
  <si>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</si>
  <si>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</si>
  <si>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</si>
  <si>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</si>
  <si>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</si>
  <si>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</si>
  <si>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</si>
  <si>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</si>
  <si>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</si>
  <si>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</si>
  <si>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</si>
  <si>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</si>
  <si>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</si>
  <si>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</si>
  <si>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</si>
  <si>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</si>
  <si>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</si>
  <si>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</si>
  <si>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</si>
  <si>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</si>
  <si>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</si>
  <si>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</si>
  <si>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</si>
  <si>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</si>
  <si>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</si>
  <si>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</si>
  <si>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</si>
  <si>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</si>
  <si>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</si>
  <si>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</si>
  <si>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</si>
  <si>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</si>
  <si>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</si>
  <si>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</si>
  <si>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</si>
  <si>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</si>
  <si>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</si>
  <si>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</si>
  <si>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</si>
  <si>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</si>
  <si>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</si>
  <si>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</si>
  <si>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</si>
  <si>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</si>
  <si>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</si>
  <si>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</si>
  <si>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</si>
  <si>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</si>
  <si>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</si>
  <si>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</si>
  <si>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</si>
  <si>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</si>
  <si>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</si>
  <si>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</si>
  <si>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</si>
  <si>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</si>
  <si>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</si>
  <si>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</si>
  <si>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</si>
  <si>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</si>
  <si>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</si>
  <si>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</si>
  <si>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</si>
  <si>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</si>
  <si>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</si>
  <si>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</si>
  <si>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</si>
  <si>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</si>
  <si>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</si>
  <si>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</si>
  <si>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</si>
  <si>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</si>
  <si>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</si>
  <si>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</si>
  <si>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</si>
  <si>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</si>
  <si>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</si>
  <si>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</si>
  <si>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</si>
  <si>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</si>
  <si>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</si>
  <si>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</si>
  <si>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</si>
  <si>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</si>
  <si>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</si>
  <si>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</si>
  <si>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</si>
  <si>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</si>
  <si>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</si>
  <si>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</si>
  <si>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</si>
  <si>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</si>
  <si>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</si>
  <si>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</si>
  <si>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</si>
  <si>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</si>
  <si>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</si>
  <si>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</si>
  <si>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</si>
  <si>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</si>
  <si>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</si>
  <si>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</si>
  <si>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</si>
  <si>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</si>
  <si>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</si>
  <si>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</si>
  <si>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</si>
  <si>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</si>
  <si>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</si>
  <si>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</si>
  <si>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</si>
  <si>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</si>
  <si>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</si>
  <si>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</si>
  <si>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</si>
  <si>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</si>
  <si>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</si>
  <si>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</si>
  <si>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</si>
  <si>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</si>
  <si>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</si>
  <si>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</si>
  <si>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</si>
  <si>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</si>
  <si>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</si>
  <si>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</si>
  <si>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</si>
  <si>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</si>
  <si>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</si>
  <si>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</si>
  <si>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</si>
  <si>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</si>
  <si>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</si>
  <si>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</si>
  <si>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</si>
  <si>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</si>
  <si>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</si>
  <si>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</si>
  <si>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</si>
  <si>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</si>
  <si>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</si>
  <si>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</si>
  <si>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</si>
  <si>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</si>
  <si>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</si>
  <si>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</si>
  <si>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</si>
  <si>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</si>
  <si>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</si>
  <si>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</si>
  <si>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</si>
  <si>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</si>
  <si>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</si>
  <si>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</si>
  <si>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</si>
  <si>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</si>
  <si>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</si>
  <si>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</si>
  <si>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</si>
  <si>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</si>
  <si>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</si>
  <si>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</si>
  <si>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</si>
  <si>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</si>
  <si>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</si>
  <si>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</si>
  <si>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</si>
  <si>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</si>
  <si>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</si>
  <si>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</si>
  <si>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</si>
  <si>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</si>
  <si>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</si>
  <si>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</si>
  <si>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</si>
  <si>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</si>
  <si>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</si>
  <si>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</si>
  <si>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</si>
  <si>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</si>
  <si>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</si>
  <si>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</si>
  <si>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</si>
  <si>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</si>
  <si>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</si>
  <si>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</si>
  <si>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</si>
  <si>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</si>
  <si>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</si>
  <si>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</si>
  <si>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</si>
  <si>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</si>
  <si>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</si>
  <si>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</si>
  <si>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</si>
  <si>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</si>
  <si>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</si>
  <si>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</si>
  <si>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</si>
  <si>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</si>
  <si>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</si>
  <si>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</si>
  <si>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</si>
  <si>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</si>
  <si>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</si>
  <si>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</si>
  <si>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</si>
  <si>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</si>
  <si>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</si>
  <si>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</si>
  <si>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</si>
  <si>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</si>
  <si>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</si>
  <si>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</si>
  <si>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</si>
  <si>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</si>
  <si>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</si>
  <si>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</si>
  <si>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</si>
  <si>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</si>
  <si>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</si>
  <si>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</si>
  <si>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</si>
  <si>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</si>
  <si>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</si>
  <si>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</si>
  <si>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</si>
  <si>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</si>
  <si>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</si>
  <si>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</si>
  <si>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</si>
  <si>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</si>
  <si>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</si>
  <si>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</si>
  <si>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</si>
  <si>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</si>
  <si>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</si>
  <si>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</si>
  <si>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</si>
  <si>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</si>
  <si>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</si>
  <si>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</si>
  <si>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</si>
  <si>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</si>
  <si>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</si>
  <si>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</si>
  <si>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</si>
  <si>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</si>
  <si>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</si>
  <si>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</si>
  <si>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</si>
  <si>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</si>
  <si>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</si>
  <si>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</si>
  <si>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</si>
  <si>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</si>
  <si>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</si>
  <si>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</si>
  <si>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</si>
  <si>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</si>
  <si>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</si>
  <si>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</si>
  <si>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</si>
  <si>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</si>
  <si>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</si>
  <si>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</si>
  <si>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</si>
  <si>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</si>
  <si>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</si>
  <si>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</si>
  <si>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</si>
  <si>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</si>
  <si>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</si>
  <si>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</si>
  <si>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</si>
  <si>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</si>
  <si>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</si>
  <si>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</si>
  <si>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</si>
  <si>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</si>
  <si>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</si>
  <si>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</si>
  <si>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</si>
  <si>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</si>
  <si>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</si>
  <si>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</si>
  <si>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</si>
  <si>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</si>
  <si>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</si>
  <si>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</si>
  <si>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</si>
  <si>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</si>
  <si>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</si>
  <si>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</si>
  <si>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</si>
  <si>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</si>
  <si>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</si>
  <si>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</si>
  <si>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</si>
  <si>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</si>
  <si>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</si>
  <si>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</si>
  <si>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</si>
  <si>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</si>
  <si>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</si>
  <si>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</si>
  <si>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</si>
  <si>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</si>
  <si>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</si>
  <si>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</si>
  <si>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</si>
  <si>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</si>
  <si>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</si>
  <si>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</si>
  <si>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</si>
  <si>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</si>
  <si>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</si>
  <si>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</si>
  <si>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</si>
  <si>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</si>
  <si>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</si>
  <si>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</si>
  <si>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</si>
  <si>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</si>
  <si>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</si>
  <si>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</si>
  <si>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</si>
  <si>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</si>
  <si>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</si>
  <si>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</si>
  <si>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</si>
  <si>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</si>
  <si>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</si>
  <si>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</si>
  <si>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</si>
  <si>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</si>
  <si>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</si>
  <si>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</si>
  <si>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</si>
  <si>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</si>
  <si>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</si>
  <si>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</si>
  <si>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</si>
  <si>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</si>
  <si>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</si>
  <si>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</si>
  <si>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</si>
  <si>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</si>
  <si>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</si>
  <si>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</si>
  <si>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</si>
  <si>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</si>
  <si>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</si>
  <si>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</si>
  <si>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</si>
  <si>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</si>
  <si>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</si>
  <si>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</si>
  <si>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</si>
  <si>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</si>
  <si>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</si>
  <si>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</si>
  <si>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</si>
  <si>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</si>
  <si>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</si>
  <si>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</si>
  <si>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</si>
  <si>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</si>
  <si>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</si>
  <si>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</si>
  <si>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</si>
  <si>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</si>
  <si>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</si>
  <si>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</si>
  <si>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</si>
  <si>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</si>
  <si>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</si>
  <si>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</si>
  <si>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</si>
  <si>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</si>
  <si>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</si>
  <si>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</si>
  <si>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</si>
  <si>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</si>
  <si>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</si>
  <si>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</si>
  <si>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</si>
  <si>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</si>
  <si>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</si>
  <si>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</si>
  <si>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</si>
  <si>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</si>
  <si>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</si>
  <si>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</si>
  <si>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</si>
  <si>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</si>
  <si>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</si>
  <si>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</si>
  <si>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</si>
  <si>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</si>
  <si>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</si>
  <si>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</si>
  <si>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</si>
  <si>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</si>
  <si>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</si>
  <si>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</si>
  <si>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</si>
  <si>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</si>
  <si>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</si>
  <si>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</si>
  <si>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</si>
  <si>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</si>
  <si>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</si>
  <si>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</si>
  <si>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</si>
  <si>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</si>
  <si>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</si>
  <si>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</si>
  <si>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</si>
  <si>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</si>
  <si>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</si>
  <si>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</si>
  <si>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</si>
  <si>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</si>
  <si>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</si>
  <si>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</si>
  <si>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</si>
  <si>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</si>
  <si>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</si>
  <si>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</si>
  <si>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</si>
  <si>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</si>
  <si>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</si>
  <si>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</si>
  <si>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</si>
  <si>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</si>
  <si>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</si>
  <si>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</si>
  <si>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</si>
  <si>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</si>
  <si>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</si>
  <si>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</si>
  <si>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</si>
  <si>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</si>
  <si>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</si>
  <si>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</si>
  <si>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</si>
  <si>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</si>
  <si>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</si>
  <si>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</si>
  <si>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</si>
  <si>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</si>
  <si>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</si>
  <si>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</si>
  <si>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</si>
  <si>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</si>
  <si>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</si>
  <si>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</si>
  <si>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</si>
  <si>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</si>
  <si>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</si>
  <si>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</si>
  <si>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</si>
  <si>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</si>
  <si>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</si>
  <si>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</si>
  <si>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</si>
  <si>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</si>
  <si>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</si>
  <si>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</si>
  <si>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</si>
  <si>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</si>
  <si>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</si>
  <si>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</si>
  <si>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</si>
  <si>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</si>
  <si>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</si>
  <si>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</si>
  <si>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</si>
  <si>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</si>
  <si>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</si>
  <si>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</si>
  <si>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</si>
  <si>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</si>
  <si>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</si>
  <si>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</si>
  <si>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</si>
  <si>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</si>
  <si>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</si>
  <si>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</si>
  <si>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</si>
  <si>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</si>
  <si>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</si>
  <si>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</si>
  <si>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</si>
  <si>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</si>
  <si>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</si>
  <si>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</si>
  <si>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</si>
  <si>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</si>
  <si>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</si>
  <si>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</si>
  <si>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</si>
  <si>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</si>
  <si>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</si>
  <si>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</si>
  <si>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</si>
  <si>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</si>
  <si>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</si>
  <si>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</si>
  <si>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</si>
  <si>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</si>
  <si>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</si>
  <si>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</si>
  <si>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</si>
  <si>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</si>
  <si>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</si>
  <si>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</si>
  <si>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</si>
  <si>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</si>
  <si>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</si>
  <si>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</si>
  <si>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</si>
  <si>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</si>
  <si>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</si>
  <si>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</si>
  <si>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</si>
  <si>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</si>
  <si>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</si>
  <si>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</si>
  <si>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</si>
  <si>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</si>
  <si>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</si>
  <si>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</si>
  <si>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</si>
  <si>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</si>
  <si>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</si>
  <si>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</si>
  <si>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</si>
  <si>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</si>
  <si>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</si>
  <si>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</si>
  <si>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</si>
  <si>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</si>
  <si>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</si>
  <si>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</si>
  <si>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</si>
  <si>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</si>
  <si>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</si>
  <si>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</si>
  <si>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</si>
  <si>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</si>
  <si>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</si>
  <si>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</si>
  <si>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</si>
  <si>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</si>
  <si>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</si>
  <si>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</si>
  <si>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</si>
  <si>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</si>
  <si>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</si>
  <si>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</si>
  <si>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</si>
  <si>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</si>
  <si>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</si>
  <si>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</si>
  <si>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</si>
  <si>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</si>
  <si>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</si>
  <si>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</si>
  <si>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</si>
  <si>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</si>
  <si>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</si>
  <si>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</si>
  <si>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</si>
  <si>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</si>
  <si>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</si>
  <si>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</si>
  <si>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</si>
  <si>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</si>
  <si>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</si>
  <si>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</si>
  <si>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</si>
  <si>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</si>
  <si>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</si>
  <si>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</si>
  <si>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</si>
  <si>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</si>
  <si>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</si>
  <si>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</si>
  <si>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</si>
  <si>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</si>
  <si>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</si>
  <si>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</si>
  <si>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</si>
  <si>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</si>
  <si>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</si>
  <si>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</si>
  <si>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</si>
  <si>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</si>
  <si>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</si>
  <si>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</si>
  <si>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</si>
  <si>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</si>
  <si>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</si>
  <si>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</si>
  <si>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</si>
  <si>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</si>
  <si>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</si>
  <si>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</si>
  <si>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</si>
  <si>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</si>
  <si>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</si>
  <si>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</si>
  <si>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</si>
  <si>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</si>
  <si>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</si>
  <si>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</si>
  <si>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</si>
  <si>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</si>
  <si>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</si>
  <si>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</si>
  <si>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</si>
  <si>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</si>
  <si>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</si>
  <si>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</si>
  <si>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</si>
  <si>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</si>
  <si>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</si>
  <si>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</si>
  <si>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</si>
  <si>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</si>
  <si>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</si>
  <si>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</si>
  <si>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</si>
  <si>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</si>
  <si>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</si>
  <si>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</si>
  <si>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</si>
  <si>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</si>
  <si>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</si>
  <si>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</si>
  <si>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</si>
  <si>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</si>
  <si>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</si>
  <si>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</si>
  <si>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</si>
  <si>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</si>
  <si>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</si>
  <si>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</si>
  <si>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</si>
  <si>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</si>
  <si>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</si>
  <si>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</si>
  <si>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</si>
  <si>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</si>
  <si>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</si>
  <si>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</si>
  <si>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</si>
  <si>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</si>
  <si>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</si>
  <si>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</si>
  <si>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</si>
  <si>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</si>
  <si>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</si>
  <si>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</si>
  <si>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</si>
  <si>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</si>
  <si>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</si>
  <si>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</si>
  <si>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</si>
  <si>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</si>
  <si>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</si>
  <si>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</si>
  <si>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</si>
  <si>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</si>
  <si>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</si>
  <si>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</si>
  <si>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</si>
  <si>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</si>
  <si>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</si>
  <si>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</si>
  <si>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</si>
  <si>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</si>
  <si>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</si>
  <si>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</si>
  <si>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</si>
  <si>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</si>
  <si>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</si>
  <si>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</si>
  <si>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</si>
  <si>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</si>
  <si>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</si>
  <si>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</si>
  <si>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</si>
  <si>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</si>
  <si>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</si>
  <si>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</si>
  <si>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</si>
  <si>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</si>
  <si>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</si>
  <si>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</si>
  <si>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</si>
  <si>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</si>
  <si>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</si>
  <si>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</si>
  <si>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</si>
  <si>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</si>
  <si>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</si>
  <si>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</si>
  <si>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</si>
  <si>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</si>
  <si>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</si>
  <si>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</si>
  <si>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</si>
  <si>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</si>
  <si>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</si>
  <si>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</si>
  <si>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</si>
  <si>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</si>
  <si>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</si>
  <si>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</si>
  <si>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</si>
  <si>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</si>
  <si>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</si>
  <si>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</si>
  <si>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</si>
  <si>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</si>
  <si>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</si>
  <si>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</si>
  <si>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</si>
  <si>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</si>
  <si>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</si>
  <si>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</si>
  <si>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</si>
  <si>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</si>
  <si>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</si>
  <si>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</si>
  <si>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</si>
  <si>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</si>
  <si>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</si>
  <si>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</si>
  <si>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</si>
  <si>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</si>
  <si>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</si>
  <si>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</si>
  <si>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</si>
  <si>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</si>
  <si>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</si>
  <si>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</si>
  <si>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</si>
  <si>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</si>
  <si>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</si>
  <si>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</si>
  <si>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</si>
  <si>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</si>
  <si>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</si>
  <si>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</si>
  <si>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</si>
  <si>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</si>
  <si>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</si>
  <si>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</si>
  <si>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</si>
  <si>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</si>
  <si>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</si>
  <si>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</si>
  <si>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</si>
  <si>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</si>
  <si>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</si>
  <si>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</si>
  <si>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</si>
  <si>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</si>
  <si>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</si>
  <si>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</si>
  <si>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</si>
  <si>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</si>
  <si>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</si>
  <si>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</si>
  <si>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</si>
  <si>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</si>
  <si>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</si>
  <si>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</si>
  <si>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</si>
  <si>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</si>
  <si>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</si>
  <si>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</si>
  <si>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</si>
  <si>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</si>
  <si>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</si>
  <si>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</si>
  <si>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</si>
  <si>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</si>
  <si>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</si>
  <si>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</si>
  <si>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</si>
  <si>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</si>
  <si>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</si>
  <si>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</si>
  <si>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</si>
  <si>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</si>
  <si>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</si>
  <si>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</si>
  <si>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</si>
  <si>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</si>
  <si>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</si>
  <si>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</si>
  <si>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</si>
  <si>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</si>
  <si>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</si>
  <si>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</si>
  <si>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</si>
  <si>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</si>
  <si>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</si>
  <si>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</si>
  <si>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</si>
  <si>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</si>
  <si>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</si>
  <si>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</si>
  <si>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</si>
  <si>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</si>
  <si>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</si>
  <si>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2026-03-01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</si>
</sst>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6" fillId="0" borderId="0" xfId="79" applyAlignment="1" applyProtection="1">
      <alignment horizontal="center" wrapText="1"/>
      <protection hidden="1"/>
    </xf>
    <xf numFmtId="0" fontId="21" fillId="10" borderId="0" xfId="79" applyFont="1" applyFill="1" applyAlignment="1">
      <alignment horizontal="center" vertical="top" wrapText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69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sqref="A1:I3"/>
    </sheetView>
  </sheetViews>
  <sheetFormatPr defaultColWidth="8.88671875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8.6640625" style="1" customWidth="1"/>
    <col min="20" max="20" width="13.6640625" style="1" hidden="1" customWidth="1"/>
    <col min="21" max="22" width="8.6640625" style="1" hidden="1" customWidth="1"/>
    <col min="23" max="16383" width="0" style="1" hidden="1" customWidth="1"/>
    <col min="16384" max="16384" width="1.109375" style="1" hidden="1" customWidth="1"/>
  </cols>
  <sheetData>
    <row r="1" spans="1:21" ht="15" customHeight="1" x14ac:dyDescent="0.5">
      <c r="A1" s="625" t="str">
        <f>texty!A22</f>
        <v>OKUCIA DO SZAF</v>
      </c>
      <c r="B1" s="626"/>
      <c r="C1" s="626"/>
      <c r="D1" s="626"/>
      <c r="E1" s="626"/>
      <c r="F1" s="626"/>
      <c r="G1" s="626"/>
      <c r="H1" s="626"/>
      <c r="I1" s="627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28"/>
      <c r="B2" s="629"/>
      <c r="C2" s="629"/>
      <c r="D2" s="629"/>
      <c r="E2" s="629"/>
      <c r="F2" s="629"/>
      <c r="G2" s="629"/>
      <c r="H2" s="629"/>
      <c r="I2" s="630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31"/>
      <c r="B3" s="632"/>
      <c r="C3" s="632"/>
      <c r="D3" s="632"/>
      <c r="E3" s="632"/>
      <c r="F3" s="632"/>
      <c r="G3" s="632"/>
      <c r="H3" s="632"/>
      <c r="I3" s="633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6" t="str">
        <f>texty!A23</f>
        <v>Klient</v>
      </c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22" t="str">
        <f>texty!A24</f>
        <v>Nazwa:</v>
      </c>
      <c r="B7" s="623"/>
      <c r="C7" s="623"/>
      <c r="D7" s="624"/>
      <c r="E7" s="641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3"/>
      <c r="T7" s="1" t="str">
        <f>CONCATENATE(texty!A23,C7,", ",C9,", ",C11,texty!A27,+C13)</f>
        <v>Klient, , NIP: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5">
      <c r="A9" s="634" t="str">
        <f>texty!A25</f>
        <v>Ulica:</v>
      </c>
      <c r="B9" s="635"/>
      <c r="C9" s="638"/>
      <c r="D9" s="639"/>
      <c r="E9" s="639"/>
      <c r="F9" s="639"/>
      <c r="G9" s="639"/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4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5">
      <c r="A11" s="622" t="str">
        <f>texty!A26</f>
        <v>Miasto, kod pocztowy:</v>
      </c>
      <c r="B11" s="623"/>
      <c r="C11" s="624"/>
      <c r="D11" s="644"/>
      <c r="E11" s="645"/>
      <c r="F11" s="645"/>
      <c r="G11" s="645"/>
      <c r="H11" s="645"/>
      <c r="I11" s="645"/>
      <c r="J11" s="645"/>
      <c r="K11" s="645"/>
      <c r="L11" s="645"/>
      <c r="M11" s="645"/>
      <c r="N11" s="645"/>
      <c r="O11" s="645"/>
      <c r="P11" s="645"/>
      <c r="Q11" s="645"/>
      <c r="R11" s="646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5">
      <c r="A13" s="648" t="str">
        <f>texty!A27</f>
        <v>NIP:</v>
      </c>
      <c r="B13" s="635"/>
      <c r="C13" s="638"/>
      <c r="D13" s="639"/>
      <c r="E13" s="639"/>
      <c r="F13" s="639"/>
      <c r="G13" s="639"/>
      <c r="H13" s="639"/>
      <c r="I13" s="639"/>
      <c r="J13" s="639"/>
      <c r="K13" s="639"/>
      <c r="L13" s="639"/>
      <c r="M13" s="639"/>
      <c r="N13" s="639"/>
      <c r="O13" s="639"/>
      <c r="P13" s="639"/>
      <c r="Q13" s="639"/>
      <c r="R13" s="64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5">
      <c r="A15" s="648" t="str">
        <f>texty!A28</f>
        <v>Zniżka:</v>
      </c>
      <c r="B15" s="649"/>
      <c r="C15" s="650"/>
      <c r="D15" s="651"/>
      <c r="E15" s="206" t="s">
        <v>55</v>
      </c>
      <c r="F15" s="207" t="str">
        <f>texty!A29</f>
        <v>Uwagi:</v>
      </c>
      <c r="G15" s="652"/>
      <c r="H15" s="653"/>
      <c r="I15" s="653"/>
      <c r="J15" s="653"/>
      <c r="K15" s="653"/>
      <c r="L15" s="653"/>
      <c r="M15" s="653"/>
      <c r="N15" s="653"/>
      <c r="O15" s="653"/>
      <c r="P15" s="653"/>
      <c r="Q15" s="653"/>
      <c r="R15" s="654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66"/>
      <c r="B16" s="667"/>
      <c r="C16" s="667"/>
      <c r="D16" s="667"/>
      <c r="E16" s="667"/>
      <c r="F16" s="667"/>
      <c r="G16" s="667"/>
      <c r="H16" s="667"/>
      <c r="I16" s="667"/>
      <c r="J16" s="667"/>
      <c r="K16" s="668"/>
      <c r="L16" s="668"/>
      <c r="M16" s="668"/>
      <c r="N16" s="668"/>
      <c r="O16" s="668"/>
      <c r="P16" s="668"/>
      <c r="Q16" s="668"/>
      <c r="R16" s="669"/>
    </row>
    <row r="17" spans="1:18" s="201" customFormat="1" ht="75" customHeight="1" x14ac:dyDescent="0.25">
      <c r="A17" s="655" t="str">
        <f>texty!A31</f>
        <v>Grubość wypełnienia 4mm (szkło albo lustro) - drzwi z ramami</v>
      </c>
      <c r="B17" s="656"/>
      <c r="C17" s="657"/>
      <c r="D17" s="659" t="str">
        <f>VLOOKUP(D20,cennik!A:B,2,0)</f>
        <v>SEVROLL wzornik rączek 2023</v>
      </c>
      <c r="E17" s="660"/>
      <c r="F17" s="660"/>
      <c r="G17" s="660"/>
      <c r="H17" s="660"/>
      <c r="I17" s="661"/>
      <c r="J17" s="577"/>
      <c r="K17" s="566"/>
      <c r="L17" s="658" t="str">
        <f>texty!A275</f>
        <v>Male probki profilowe</v>
      </c>
      <c r="M17" s="658"/>
      <c r="N17" s="658"/>
      <c r="O17" s="658"/>
      <c r="P17" s="566"/>
      <c r="Q17" s="566"/>
      <c r="R17" s="567"/>
    </row>
    <row r="18" spans="1:18" ht="16.95" customHeight="1" thickBot="1" x14ac:dyDescent="0.35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2" customHeight="1" thickBot="1" x14ac:dyDescent="0.35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3">
      <c r="A20" s="576"/>
      <c r="B20" s="579" t="s">
        <v>834</v>
      </c>
      <c r="C20" s="576"/>
      <c r="D20" s="662">
        <v>494207</v>
      </c>
      <c r="E20" s="663"/>
      <c r="F20" s="663"/>
      <c r="G20" s="663"/>
      <c r="H20" s="663"/>
      <c r="I20" s="664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5">
      <c r="A21" s="222"/>
      <c r="B21" s="580" t="str">
        <f>texty!A58</f>
        <v>wysokość aż 3 m!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3">
      <c r="A22" s="670" t="str">
        <f>texty!A30</f>
        <v>Grubość wypełnienia 10mm (szkło albo lustro z wykorzystaniem uszczelek - gr.4 lub 6mm) - drzwi z ramami</v>
      </c>
      <c r="B22" s="671"/>
      <c r="C22" s="671"/>
      <c r="D22" s="671"/>
      <c r="E22" s="671"/>
      <c r="F22" s="671"/>
      <c r="G22" s="671"/>
      <c r="H22" s="671"/>
      <c r="I22" s="671"/>
      <c r="J22" s="671"/>
      <c r="K22" s="672"/>
      <c r="L22" s="672"/>
      <c r="M22" s="672"/>
      <c r="N22" s="672"/>
      <c r="O22" s="672"/>
      <c r="P22" s="672"/>
      <c r="Q22" s="672"/>
      <c r="R22" s="673"/>
    </row>
    <row r="23" spans="1:18" ht="10.199999999999999" customHeight="1" x14ac:dyDescent="0.3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3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wysokość aż 3 m!</v>
      </c>
      <c r="O24" s="506"/>
      <c r="P24" s="586" t="str">
        <f>texty!A57</f>
        <v>wysokość aż 3,5m!</v>
      </c>
      <c r="Q24" s="502"/>
      <c r="R24" s="507"/>
    </row>
    <row r="25" spans="1:18" ht="107.25" customHeight="1" thickBot="1" x14ac:dyDescent="0.35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3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65" t="s">
        <v>1005</v>
      </c>
      <c r="N28" s="665"/>
      <c r="O28" s="665"/>
      <c r="P28" s="665"/>
      <c r="Q28" s="665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5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5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5">
      <c r="A33" s="609"/>
      <c r="B33" s="610"/>
      <c r="C33" s="610"/>
      <c r="D33" s="647" t="s">
        <v>81</v>
      </c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10"/>
      <c r="P33" s="610"/>
      <c r="Q33" s="610"/>
      <c r="R33" s="611"/>
    </row>
    <row r="34" spans="1:18" ht="10.199999999999999" customHeight="1" x14ac:dyDescent="0.3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3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5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3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3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15" t="str">
        <f>texty!A61</f>
        <v>system GM 18 (kombinacja PW 18 mm i szkła) (ramowy)</v>
      </c>
      <c r="B44" s="616"/>
      <c r="C44" s="616"/>
      <c r="D44" s="616"/>
      <c r="E44" s="616"/>
      <c r="F44" s="616"/>
      <c r="G44" s="616"/>
      <c r="H44" s="212"/>
      <c r="I44" s="621" t="str">
        <f>texty!A221</f>
        <v>Blue 18 mm (ramowy)</v>
      </c>
      <c r="J44" s="621"/>
      <c r="K44" s="621"/>
      <c r="L44" s="621"/>
      <c r="M44" s="212"/>
      <c r="N44" s="614" t="str">
        <f>texty!A220</f>
        <v>Blue 18 mm (bezramowe)</v>
      </c>
      <c r="O44" s="614"/>
      <c r="P44" s="614"/>
      <c r="Q44" s="614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NOWOŚĆ</v>
      </c>
      <c r="K45" s="264"/>
      <c r="L45" s="239" t="str">
        <f>texty!A151</f>
        <v>NOWOŚĆ</v>
      </c>
      <c r="M45" s="212"/>
      <c r="N45" s="239" t="str">
        <f>texty!A151</f>
        <v>NOWOŚĆ</v>
      </c>
      <c r="O45" s="238"/>
      <c r="P45" s="239" t="str">
        <f>texty!A151</f>
        <v>NOWOŚĆ</v>
      </c>
      <c r="Q45" s="223"/>
      <c r="R45" s="230"/>
    </row>
    <row r="46" spans="1:18" s="51" customFormat="1" ht="106.5" customHeight="1" thickTop="1" thickBot="1" x14ac:dyDescent="0.35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17" t="str">
        <f>texty!A253</f>
        <v>system GM 18 (kombinacja PW 18 mm i szkła) (bezramowe)</v>
      </c>
      <c r="B50" s="617"/>
      <c r="C50" s="617"/>
      <c r="D50" s="617"/>
      <c r="E50" s="617"/>
      <c r="F50" s="617"/>
      <c r="G50" s="223"/>
      <c r="H50" s="458"/>
      <c r="I50" s="212"/>
      <c r="J50" s="212"/>
      <c r="K50" s="614" t="str">
        <f>texty!A222</f>
        <v> System Comfort</v>
      </c>
      <c r="L50" s="614"/>
      <c r="M50" s="614"/>
      <c r="N50" s="614"/>
      <c r="O50" s="614"/>
      <c r="P50" s="614"/>
      <c r="Q50" s="614"/>
      <c r="R50" s="215"/>
    </row>
    <row r="51" spans="1:18" s="51" customFormat="1" ht="16.5" customHeight="1" thickBot="1" x14ac:dyDescent="0.35">
      <c r="A51" s="617"/>
      <c r="B51" s="617"/>
      <c r="C51" s="617"/>
      <c r="D51" s="617"/>
      <c r="E51" s="617"/>
      <c r="F51" s="617"/>
      <c r="G51" s="223"/>
      <c r="H51" s="458"/>
      <c r="I51" s="212"/>
      <c r="J51" s="212"/>
      <c r="K51" s="614"/>
      <c r="L51" s="614"/>
      <c r="M51" s="614"/>
      <c r="N51" s="614"/>
      <c r="O51" s="614"/>
      <c r="P51" s="614"/>
      <c r="Q51" s="614"/>
      <c r="R51" s="215"/>
    </row>
    <row r="52" spans="1:18" s="51" customFormat="1" ht="106.2" customHeight="1" thickBot="1" x14ac:dyDescent="0.35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19" t="s">
        <v>4</v>
      </c>
      <c r="B55" s="620"/>
      <c r="C55" s="620"/>
      <c r="D55" s="620"/>
      <c r="E55" s="620"/>
      <c r="F55" s="620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</row>
    <row r="56" spans="1:18" ht="9.75" customHeight="1" x14ac:dyDescent="0.3"/>
    <row r="57" spans="1:18" ht="17.399999999999999" x14ac:dyDescent="0.3">
      <c r="A57" s="618" t="str">
        <f>texty!A190</f>
        <v xml:space="preserve">tutaj można znaleźć inne akcesoria </v>
      </c>
      <c r="B57" s="618"/>
      <c r="C57" s="618"/>
      <c r="D57" s="618"/>
      <c r="E57" s="618"/>
      <c r="F57" s="618"/>
      <c r="G57" s="618"/>
      <c r="H57" s="618"/>
      <c r="I57" s="618"/>
      <c r="J57" s="618"/>
      <c r="K57" s="618"/>
      <c r="L57" s="618"/>
      <c r="M57" s="618"/>
      <c r="N57" s="618"/>
      <c r="O57" s="618"/>
      <c r="P57" s="618"/>
      <c r="Q57" s="618"/>
    </row>
    <row r="58" spans="1:18" ht="15" customHeight="1" x14ac:dyDescent="0.3"/>
    <row r="59" spans="1:18" ht="15" customHeight="1" x14ac:dyDescent="0.3">
      <c r="A59" s="51" t="str">
        <f>texty!A144</f>
        <v>Instrukcja:</v>
      </c>
    </row>
    <row r="60" spans="1:18" ht="15" customHeight="1" x14ac:dyDescent="0.3">
      <c r="A60" s="1" t="str">
        <f>texty!A134</f>
        <v>1. Wypełnij dane kontaktowe, możesz również podać swoją zniżkę. Dane pokażą się na poszczególnych stronach.</v>
      </c>
    </row>
    <row r="61" spans="1:18" ht="15" customHeight="1" x14ac:dyDescent="0.3">
      <c r="A61" s="1" t="str">
        <f>texty!A135</f>
        <v>2. Wybierz rączkę (kliknij na nazwę profilu pod obrazkiem)</v>
      </c>
    </row>
    <row r="62" spans="1:18" ht="15" customHeight="1" x14ac:dyDescent="0.3">
      <c r="A62" s="1" t="str">
        <f>texty!A136</f>
        <v>3. Na stronie z komponentami profilu, podaj rozmiar otworu.</v>
      </c>
    </row>
    <row r="63" spans="1:18" ht="15" customHeight="1" x14ac:dyDescent="0.3">
      <c r="A63" s="1" t="str">
        <f>texty!A137</f>
        <v xml:space="preserve">4. Napisz z ilu drzwi będzie się składać komplet. </v>
      </c>
    </row>
    <row r="64" spans="1:18" ht="15" customHeight="1" x14ac:dyDescent="0.3">
      <c r="A64" s="1" t="str">
        <f>texty!A138</f>
        <v>5. Wybierz kolor profilu (kliknij na pole z kolorem, następnie na okno ze strzałką - pojawi się lista, z której możesz wybrać kolor)</v>
      </c>
    </row>
    <row r="65" spans="1:19" ht="15" customHeight="1" x14ac:dyDescent="0.3">
      <c r="A65" s="1" t="str">
        <f>texty!A139</f>
        <v>6. Jeśli chcesz, aby drzwi były podzielone profilami, w dolnej części formularza podaj potrzebną ilość listw</v>
      </c>
    </row>
    <row r="66" spans="1:19" ht="15" customHeight="1" x14ac:dyDescent="0.3">
      <c r="A66" s="1" t="str">
        <f>texty!A140</f>
        <v>7. Przy wykorzystaniu szkła lub lustra należy dodać profil uszczelniający. Ze względu na możliwą kombinację szkła z deskami</v>
      </c>
    </row>
    <row r="67" spans="1:19" ht="15" customHeight="1" x14ac:dyDescent="0.3">
      <c r="A67" s="1" t="str">
        <f>texty!A141</f>
        <v xml:space="preserve">     nie można wcześniej określić długości uszczelki. W komplecie, długość uszczelki jest wyliczona na jedno skrzydło.</v>
      </c>
    </row>
    <row r="68" spans="1:19" ht="15" customHeight="1" x14ac:dyDescent="0.3">
      <c r="A68" s="1" t="str">
        <f>texty!A142</f>
        <v xml:space="preserve">    Długość jest obliczona również w przypadku, że cały komplet składa się tylko ze szkła / lustra.</v>
      </c>
      <c r="H68" s="190"/>
      <c r="I68" s="190"/>
      <c r="J68" s="190"/>
    </row>
    <row r="69" spans="1:19" ht="15" customHeight="1" x14ac:dyDescent="0.3">
      <c r="A69" s="1" t="str">
        <f>texty!A143</f>
        <v>8. Przy cięciu profila jest liczona szerokość cięcia 5 mm.</v>
      </c>
    </row>
    <row r="70" spans="1:19" ht="15" customHeight="1" x14ac:dyDescent="0.3"/>
    <row r="71" spans="1:19" ht="15" customHeight="1" x14ac:dyDescent="0.3">
      <c r="O71" s="561"/>
    </row>
    <row r="72" spans="1:19" ht="16.5" customHeight="1" x14ac:dyDescent="0.3">
      <c r="O72" s="561"/>
    </row>
    <row r="73" spans="1:19" ht="15" customHeight="1" x14ac:dyDescent="0.3">
      <c r="B73" s="143" t="s">
        <v>11409</v>
      </c>
      <c r="F73" s="562"/>
      <c r="G73" s="563"/>
    </row>
    <row r="74" spans="1:19" ht="15" customHeight="1" x14ac:dyDescent="0.3">
      <c r="A74" s="613" t="str">
        <f>texty!A153</f>
        <v>Na podstawie danych dostarczonych przez producenta. Szczególnie w przypadku produkcji masowej, należy najpierw przeprowadzić test. Zastrzega się możliwość wystąpienia błędów.</v>
      </c>
      <c r="B74" s="613"/>
      <c r="C74" s="613"/>
      <c r="D74" s="613"/>
      <c r="E74" s="613"/>
      <c r="F74" s="613"/>
      <c r="G74" s="613"/>
      <c r="H74" s="613"/>
      <c r="I74" s="613"/>
      <c r="J74" s="613"/>
      <c r="K74" s="613"/>
      <c r="L74" s="613"/>
      <c r="M74" s="613"/>
      <c r="N74" s="613"/>
      <c r="O74" s="613"/>
      <c r="P74" s="613"/>
      <c r="Q74" s="613"/>
      <c r="R74" s="613"/>
      <c r="S74" s="613"/>
    </row>
    <row r="75" spans="1:19" ht="15" customHeight="1" x14ac:dyDescent="0.3">
      <c r="A75" s="613"/>
      <c r="B75" s="613"/>
      <c r="C75" s="613"/>
      <c r="D75" s="613"/>
      <c r="E75" s="613"/>
      <c r="F75" s="613"/>
      <c r="G75" s="613"/>
      <c r="H75" s="613"/>
      <c r="I75" s="613"/>
      <c r="J75" s="613"/>
      <c r="K75" s="613"/>
      <c r="L75" s="613"/>
      <c r="M75" s="613"/>
      <c r="N75" s="613"/>
      <c r="O75" s="613"/>
      <c r="P75" s="613"/>
      <c r="Q75" s="613"/>
      <c r="R75" s="613"/>
      <c r="S75" s="613"/>
    </row>
    <row r="76" spans="1:19" ht="15" hidden="1" customHeight="1" x14ac:dyDescent="0.3">
      <c r="S76" s="612">
        <v>3</v>
      </c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DmR8XhJ7E1k0+B5/8fCUWsAfmLVwTZ1N4NKeXNJ9KUnfiENolWiww+V4Evo8TXnJo2t6KxBHE1xyx1KLBQ7jwA==" saltValue="1/FueEqZ/TyD98WOQWHsVQ==" spinCount="100000" sheet="1" objects="1" scenarios="1"/>
  <mergeCells count="29"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  <mergeCell ref="A11:C11"/>
    <mergeCell ref="A1:I3"/>
    <mergeCell ref="A9:B9"/>
    <mergeCell ref="A5:R5"/>
    <mergeCell ref="C9:R9"/>
    <mergeCell ref="A7:D7"/>
    <mergeCell ref="E7:R7"/>
    <mergeCell ref="D11:R11"/>
    <mergeCell ref="A74:S75"/>
    <mergeCell ref="K50:Q51"/>
    <mergeCell ref="A44:G44"/>
    <mergeCell ref="A50:F51"/>
    <mergeCell ref="A57:Q57"/>
    <mergeCell ref="A55:R55"/>
    <mergeCell ref="I44:L44"/>
    <mergeCell ref="N44:Q44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I25" sqref="I25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f>profil!S76</f>
        <v>3</v>
      </c>
      <c r="B2" s="183" t="str">
        <f>IF(A2=1,"Kč",IF(A2=2,"EUR",IF(A2=3,"zł",IF(A2=4,"Ft",IF(A2&gt;4,"EUR","chyba")))))</f>
        <v>zł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wkręt 2,5x18mm</v>
      </c>
      <c r="C3" s="185">
        <f>IF($A$2=1,H3,IF($A$2=2,I3,IF($A$2=3,J3,IF($A$2=4,K3,IF($A$2&gt;4,O3,"zadat jazyk")))))</f>
        <v>0.10996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11.584149999999999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klips do szczotki przeciwkurzowej</v>
      </c>
      <c r="C4" s="185">
        <f t="shared" ref="C4:C67" si="1">IF($A$2=1,H4,IF($A$2=2,I4,IF($A$2=3,J4,IF($A$2=4,K4,IF($A$2&gt;4,O4,"zadat jazyk")))))</f>
        <v>0.23857999999999999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30.754100000000001</v>
      </c>
      <c r="L4" s="459" t="s">
        <v>538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blachowkręt Blue 6,3x45</v>
      </c>
      <c r="C5" s="185">
        <f t="shared" si="1"/>
        <v>0.52376999999999996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61.50817</v>
      </c>
      <c r="L5" s="459" t="s">
        <v>538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blachowkręt 6,3x32 SEVROLL i Simple</v>
      </c>
      <c r="C6" s="185">
        <f t="shared" si="1"/>
        <v>0.52500000000000002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61.50817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pozycjoner wózka dolnego HI-TEC</v>
      </c>
      <c r="C7" s="185">
        <f t="shared" si="1"/>
        <v>1.071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123.01676</v>
      </c>
      <c r="L7" s="459" t="s">
        <v>538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zabierak do tłumienia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szczotka odbojowa z klejem 6,7x4 mm szara</v>
      </c>
      <c r="C9" s="185">
        <f t="shared" si="1"/>
        <v>1.1577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102.51391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Simple/Blue pozycjoner wózka dolnego</v>
      </c>
      <c r="C10" s="185">
        <f t="shared" si="1"/>
        <v>1.2257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143.51965000000001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Simple/Blue pozycjoner wózka górnego</v>
      </c>
      <c r="C11" s="185">
        <f t="shared" si="1"/>
        <v>1.5743100000000001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184.52493999999999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Micra stoper (2szt w opakowaniu)</v>
      </c>
      <c r="C12" s="185">
        <f t="shared" si="1"/>
        <v>2.1215999999999999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230.36161999999999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OKE-szczotka odbojowa samoprzylepna 6,7x4 mm biała</v>
      </c>
      <c r="C13" s="185" t="e">
        <f t="shared" si="1"/>
        <v>#N/A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 t="e">
        <v>#N/A</v>
      </c>
      <c r="I13" s="460" t="e">
        <v>#N/A</v>
      </c>
      <c r="J13" s="460" t="e">
        <v>#N/A</v>
      </c>
      <c r="K13" s="460" t="e">
        <v>#N/A</v>
      </c>
      <c r="L13" s="459" t="e">
        <v>#N/A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stoper do torów Hide N i M</v>
      </c>
      <c r="C14" s="185">
        <f t="shared" si="1"/>
        <v>12.1584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1041.6357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prowadnik 102 N</v>
      </c>
      <c r="C15" s="185">
        <f t="shared" si="1"/>
        <v>2.5746799999999999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284.76100000000002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OKE-szczotka odbojowa samoprzylepna 6,7x12 mm, biała</v>
      </c>
      <c r="C16" s="185">
        <f t="shared" si="1"/>
        <v>3.5848499999999999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 t="e">
        <v>#N/A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uszczelka bezbarwna 10/6,4mm</v>
      </c>
      <c r="C17" s="185">
        <f t="shared" si="1"/>
        <v>2.7501000000000002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317.79295000000002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uszczelka do szkła 10,1/8mm</v>
      </c>
      <c r="C18" s="185">
        <f t="shared" si="1"/>
        <v>2.7501000000000002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317.79295000000002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Exclusive odbojnik kulisty</v>
      </c>
      <c r="C19" s="185">
        <f t="shared" si="1"/>
        <v>3.99519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441.87027999999998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zaślepka gumowa do toru Simple/Blue przeźroczysta</v>
      </c>
      <c r="C20" s="185">
        <f t="shared" si="1"/>
        <v>3.4045299999999998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399.80439000000001</v>
      </c>
      <c r="L20" s="459" t="s">
        <v>538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Fix pozycjoner wózka górnego transparentny</v>
      </c>
      <c r="C21" s="185">
        <f t="shared" si="1"/>
        <v>3.74519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30.759650000000001</v>
      </c>
      <c r="I21" s="460">
        <v>1.0929500000000001</v>
      </c>
      <c r="J21" s="460">
        <v>3.74519</v>
      </c>
      <c r="K21" s="460">
        <v>481.81545</v>
      </c>
      <c r="L21" s="459" t="s">
        <v>538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Smart wózek górny</v>
      </c>
      <c r="C23" s="185">
        <f t="shared" si="1"/>
        <v>6.7144500000000003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625.33465000000001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Smart wózek dolny</v>
      </c>
      <c r="C24" s="185">
        <f t="shared" si="1"/>
        <v>6.7144500000000003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625.33465000000001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wózek górny Simple 18mm symetryczny L+P</v>
      </c>
      <c r="C25" s="185">
        <f t="shared" si="1"/>
        <v>7.5828699999999998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778.25313000000006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Micra tor górny / dolny 1,7 m, surowy</v>
      </c>
      <c r="C26" s="185">
        <f t="shared" si="1"/>
        <v>8.9485100000000006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1001.57265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úhelník 17x11mm 1,7m stříbrná</v>
      </c>
      <c r="C27" s="185">
        <f t="shared" si="1"/>
        <v>8.7942400000000003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941.47843999999998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uszczelka bezbarwna 18/4mm symetryczne</v>
      </c>
      <c r="C28" s="185">
        <f t="shared" si="1"/>
        <v>7.6425999999999998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912.37392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uszczelka bezbarwna 18/8mm symetryczne</v>
      </c>
      <c r="C29" s="185">
        <f t="shared" si="1"/>
        <v>7.6425999999999998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912.37392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wózek dolny Blue C system ramowy - 2 szt.</v>
      </c>
      <c r="C30" s="185">
        <f t="shared" si="1"/>
        <v>15.66916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1158.40705</v>
      </c>
      <c r="L30" s="459" t="s">
        <v>540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uszczelka bezbarwna 18/4-4,5 mm asymetryczna</v>
      </c>
      <c r="C31" s="185" t="e">
        <f t="shared" si="1"/>
        <v>#N/A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 t="e">
        <v>#N/A</v>
      </c>
      <c r="I31" s="460" t="e">
        <v>#N/A</v>
      </c>
      <c r="J31" s="460" t="e">
        <v>#N/A</v>
      </c>
      <c r="K31" s="460">
        <v>908.27302999999995</v>
      </c>
      <c r="L31" s="459" t="e">
        <v>#N/A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wózek dolny WD 18C HI-TEC</v>
      </c>
      <c r="C32" s="185" t="e">
        <f t="shared" si="1"/>
        <v>#N/A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 t="e">
        <v>#N/A</v>
      </c>
      <c r="I32" s="460" t="e">
        <v>#N/A</v>
      </c>
      <c r="J32" s="460" t="e">
        <v>#N/A</v>
      </c>
      <c r="K32" s="460" t="e">
        <v>#N/A</v>
      </c>
      <c r="L32" s="459" t="e">
        <v>#N/A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wózek dolny DTD 18 mm-2 szt. + pozycjoner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kątownik Mini 17x11mm 1,7m złoty</v>
      </c>
      <c r="C34" s="185">
        <f t="shared" si="1"/>
        <v>10.55925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1181.85564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wózek górny Blue (do płyty laminowanej 18mm) ramowy L+P</v>
      </c>
      <c r="C35" s="185">
        <f t="shared" si="1"/>
        <v>15.244389999999999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1435.1946800000001</v>
      </c>
      <c r="L35" s="459" t="s">
        <v>538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úhelník 17x11mm 1,7m oliva</v>
      </c>
      <c r="C36" s="185">
        <f t="shared" si="1"/>
        <v>10.55925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1181.85564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Micra tor górny / dolny 2,35 m, surowy</v>
      </c>
      <c r="C37" s="185">
        <f t="shared" si="1"/>
        <v>12.43843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1392.18614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profil "U" do płyty laminowanej 10mm 2m srebrny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kątownik 17x11mm 2,35m srebrny</v>
      </c>
      <c r="C39" s="185">
        <f t="shared" si="1"/>
        <v>12.129440000000001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1302.0444299999999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wózek górny Blue 10mm asymetryczny L+P</v>
      </c>
      <c r="C40" s="185">
        <f t="shared" si="1"/>
        <v>15.244389999999999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1435.1946800000001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wózek górny Blue (do płyty laminowanej 18mm) bezramowy L+P</v>
      </c>
      <c r="C41" s="185">
        <f t="shared" si="1"/>
        <v>12.22138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1435.1946800000001</v>
      </c>
      <c r="L41" s="459" t="s">
        <v>538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kątownik Mini 17x11 mm 1,7 m, biały połysk</v>
      </c>
      <c r="C42" s="185">
        <f t="shared" si="1"/>
        <v>12.2094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1221.9187199999999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Profil "U" mini do płyty laminowanej 18 mm, 3 m, srebrny</v>
      </c>
      <c r="C44" s="185">
        <f t="shared" si="1"/>
        <v>12.79637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1432.24881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kątownik K2 Decor 1,7m jasny brąz</v>
      </c>
      <c r="C45" s="185">
        <f t="shared" si="1"/>
        <v>14.76505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1652.5948699999999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maska do toru Elegant II 1,7m biały połysk</v>
      </c>
      <c r="C46" s="185">
        <f t="shared" si="1"/>
        <v>12.199199999999999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1282.0129099999999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Micra tor górny / dolny 1,7 m oliwka</v>
      </c>
      <c r="C47" s="185">
        <f t="shared" si="1"/>
        <v>13.780720000000001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1542.42202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/>
      </c>
      <c r="C48" s="185">
        <f t="shared" si="1"/>
        <v>12.5154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1382.1701800000001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01135 Smart tor dolny 1,7 m, srebrny</v>
      </c>
      <c r="C49" s="185">
        <f t="shared" si="1"/>
        <v>14.2188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1502.35897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02336 Szpros S10 3m oliwka</v>
      </c>
      <c r="C50" s="185">
        <f t="shared" si="1"/>
        <v>12.0054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1312.05999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úhelník K2 Decor 1,7m stříbrná</v>
      </c>
      <c r="C51" s="185">
        <f t="shared" si="1"/>
        <v>12.046200000000001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1322.0759599999999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Micra tor górny / dolny 1,7 m, srebrny anodowany</v>
      </c>
      <c r="C52" s="185">
        <f t="shared" si="1"/>
        <v>11.699400000000001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1292.0288700000001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wózek dolny Simple (bezramowy 18mm) - 2szt</v>
      </c>
      <c r="C53" s="185">
        <f t="shared" si="1"/>
        <v>13.88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1629.97126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Micra tor górny / dolny 3 m, surowy</v>
      </c>
      <c r="C54" s="185">
        <f t="shared" si="1"/>
        <v>15.83888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1772.7836600000001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00094 úhelník 17x11mm 2,35m oliva</v>
      </c>
      <c r="C55" s="185">
        <f t="shared" si="1"/>
        <v>14.586069999999999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1632.56332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kątownik Mini 17x11mm 2,35m złoty</v>
      </c>
      <c r="C56" s="185">
        <f t="shared" si="1"/>
        <v>14.586069999999999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1632.56332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kątownik 17x11mm 3m srebrny</v>
      </c>
      <c r="C57" s="185">
        <f t="shared" si="1"/>
        <v>15.49611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1662.61043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profil "U" Mini do płyty laminowanej 18mm 3m jasny brąz</v>
      </c>
      <c r="C58" s="185">
        <f t="shared" si="1"/>
        <v>16.01784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1792.81519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maska do toru Elegant II 1,7 m czarny szczotkowany</v>
      </c>
      <c r="C59" s="185">
        <f t="shared" si="1"/>
        <v>16.01784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1792.81519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maska do toru Elegant II 1,7m jasny brąz szczotkowany</v>
      </c>
      <c r="C60" s="185">
        <f t="shared" si="1"/>
        <v>16.01784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1792.81519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zaślepka do toru Elegant II 1,7m koniak szczotkowany</v>
      </c>
      <c r="C61" s="185">
        <f t="shared" si="1"/>
        <v>16.01784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1792.81519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kątownik K2 1,7 m czarny szczotkowany</v>
      </c>
      <c r="C62" s="185">
        <f t="shared" si="1"/>
        <v>16.82321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1882.95649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wózek dolny Blue C bezramowy do 18mm - 2 szt.</v>
      </c>
      <c r="C63" s="185">
        <f t="shared" si="1"/>
        <v>16.911989999999999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1896.5072500000001</v>
      </c>
      <c r="L63" s="459" t="s">
        <v>540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Exclusive odbojnik gumowy górny</v>
      </c>
      <c r="C64" s="185" t="e">
        <f t="shared" si="1"/>
        <v>#N/A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 t="e">
        <v>#N/A</v>
      </c>
      <c r="I64" s="460" t="e">
        <v>#N/A</v>
      </c>
      <c r="J64" s="460" t="e">
        <v>#N/A</v>
      </c>
      <c r="K64" s="460" t="e">
        <v>#N/A</v>
      </c>
      <c r="L64" s="459" t="e">
        <v>#N/A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Szpros S10 3m oliwka</v>
      </c>
      <c r="C65" s="185">
        <f t="shared" si="1"/>
        <v>14.675560000000001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1642.5792899999999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kątownik 10x10mm 3m srebrny</v>
      </c>
      <c r="C66" s="185">
        <f t="shared" si="1"/>
        <v>15.2898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1602.5162399999999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kątownik Mini 17x11 mm 2,35 m, biały połysk</v>
      </c>
      <c r="C67" s="185">
        <f t="shared" si="1"/>
        <v>16.901399999999999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1692.6579200000001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Blue-C tor dolny 1,5m srebrny</v>
      </c>
      <c r="C68" s="185" t="e">
        <f t="shared" ref="C68:C131" si="3">IF($A$2=1,H68,IF($A$2=2,I68,IF($A$2=3,J68,IF($A$2=4,K68,IF($A$2&gt;4,O68,"zadat jazyk")))))</f>
        <v>#N/A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 t="e">
        <v>#N/A</v>
      </c>
      <c r="I68" s="460" t="e">
        <v>#N/A</v>
      </c>
      <c r="J68" s="460" t="e">
        <v>#N/A</v>
      </c>
      <c r="K68" s="460" t="e">
        <v>#N/A</v>
      </c>
      <c r="L68" s="459" t="e">
        <v>#N/A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profil "U" do płyty laminowanej 18mm 3m srebrny</v>
      </c>
      <c r="C69" s="185">
        <f t="shared" si="3"/>
        <v>16.375779999999999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1832.8778600000001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kątownik K2 1,7 m  oliwka ciemna szczotkowana</v>
      </c>
      <c r="C70" s="185">
        <f t="shared" si="3"/>
        <v>16.82321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1882.95649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kątownik K2 Decor 1,7 m jasny brąz szczotkowany</v>
      </c>
      <c r="C71" s="185">
        <f t="shared" si="3"/>
        <v>16.82321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1882.95649</v>
      </c>
      <c r="L71" s="459" t="s">
        <v>539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wózek dolny Blue V system bezramowy do 18mm - 2szt</v>
      </c>
      <c r="C72" s="185">
        <f t="shared" si="3"/>
        <v>17.35249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1896.5072500000001</v>
      </c>
      <c r="L72" s="459" t="s">
        <v>538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First tor górny / dolny 1,2m jasny brąz</v>
      </c>
      <c r="C73" s="185" t="e">
        <f t="shared" si="3"/>
        <v>#N/A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 t="e">
        <v>#N/A</v>
      </c>
      <c r="I73" s="460" t="e">
        <v>#N/A</v>
      </c>
      <c r="J73" s="460" t="e">
        <v>#N/A</v>
      </c>
      <c r="K73" s="460" t="e">
        <v>#N/A</v>
      </c>
      <c r="L73" s="459" t="e">
        <v>#N/A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First tor górny / dolny 1,2m srebrny</v>
      </c>
      <c r="C74" s="185" t="e">
        <f t="shared" si="3"/>
        <v>#N/A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 t="e">
        <v>#N/A</v>
      </c>
      <c r="I74" s="460" t="e">
        <v>#N/A</v>
      </c>
      <c r="J74" s="460" t="e">
        <v>#N/A</v>
      </c>
      <c r="K74" s="460" t="e">
        <v>#N/A</v>
      </c>
      <c r="L74" s="459" t="e">
        <v>#N/A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/>
      </c>
      <c r="C75" s="185">
        <f t="shared" si="3"/>
        <v>16.289400000000001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1792.81519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2x wózek dolny do płyty laminowanej 18mm bez pozycjonera bez sprężyny</v>
      </c>
      <c r="C76" s="185">
        <f t="shared" si="3"/>
        <v>18.35596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1937.5129899999999</v>
      </c>
      <c r="L76" s="459" t="s">
        <v>538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profil "U" do płyty laminowanej 10mm 3m srebrny</v>
      </c>
      <c r="C77" s="185">
        <f t="shared" si="3"/>
        <v>17.091660000000001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1913.0035700000001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maska do toru Elegant II 2,35m biały połysk</v>
      </c>
      <c r="C78" s="185">
        <f t="shared" si="3"/>
        <v>16.870799999999999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1772.7836600000001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kątownik K2 Decor 2,35m złoty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Hide M tor dolny 1,7m srebrny</v>
      </c>
      <c r="C80" s="185" t="e">
        <f t="shared" si="3"/>
        <v>#N/A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 t="e">
        <v>#N/A</v>
      </c>
      <c r="I80" s="460" t="e">
        <v>#N/A</v>
      </c>
      <c r="J80" s="460" t="e">
        <v>#N/A</v>
      </c>
      <c r="K80" s="460" t="e">
        <v>#N/A</v>
      </c>
      <c r="L80" s="459" t="e">
        <v>#N/A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zaślepka maskownicy toru Herkules Glas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Micra tor górny / dolny 2,35 m oliwka</v>
      </c>
      <c r="C82" s="185">
        <f t="shared" si="3"/>
        <v>19.06033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2133.3496399999999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Blue-C tor dolny 1,5m jasny brąz</v>
      </c>
      <c r="C83" s="185" t="e">
        <f t="shared" si="3"/>
        <v>#N/A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 t="e">
        <v>#N/A</v>
      </c>
      <c r="I83" s="460" t="e">
        <v>#N/A</v>
      </c>
      <c r="J83" s="460" t="e">
        <v>#N/A</v>
      </c>
      <c r="K83" s="460" t="e">
        <v>#N/A</v>
      </c>
      <c r="L83" s="459" t="e">
        <v>#N/A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Smart tor dolny 2,35m srebrny</v>
      </c>
      <c r="C85" s="185">
        <f t="shared" si="3"/>
        <v>19.6554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2063.2394800000002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Doubler II maskownica 1,7m srebrna</v>
      </c>
      <c r="C86" s="185">
        <f t="shared" si="3"/>
        <v>16.360800000000001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1812.8463300000001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kątownik 17x11mm 3m jasny brąz</v>
      </c>
      <c r="C87" s="185">
        <f t="shared" si="3"/>
        <v>18.523420000000002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2073.2554399999999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kątownik Mini 17x11mm 3m złoty</v>
      </c>
      <c r="C88" s="185">
        <f t="shared" si="3"/>
        <v>18.523420000000002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2073.2554399999999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úhelník K2 Decor 2,35m oliva</v>
      </c>
      <c r="C89" s="185">
        <f t="shared" si="3"/>
        <v>20.492090000000001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2293.6015000000002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úhelník K2 Decor 2,35m stříbrná</v>
      </c>
      <c r="C90" s="185">
        <f t="shared" si="3"/>
        <v>16.666799999999999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1832.8778600000001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Maxim II maskownica 1,8m srebrny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Micra tor górny / dolny 2,35 m, srebrny anodowany</v>
      </c>
      <c r="C92" s="185">
        <f t="shared" si="3"/>
        <v>16.1568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1792.81519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taśma klejąca dwustronna 50mm 10m</v>
      </c>
      <c r="C93" s="185">
        <f t="shared" si="3"/>
        <v>16.541799999999999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1947.7642000000001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Doubler II maskownica 1,7m jasny brąz</v>
      </c>
      <c r="C94" s="185">
        <f t="shared" si="3"/>
        <v>19.597249999999999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2193.4442399999998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Simple tor dolny 1,5 m srebrny</v>
      </c>
      <c r="C95" s="185">
        <f t="shared" si="3"/>
        <v>21.998480000000001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profil "U" do płyty laminowanej 16mm 3m srebrny</v>
      </c>
      <c r="C96" s="185">
        <f t="shared" si="3"/>
        <v>20.7774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2323.6486100000002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kątownik Mini 17x11 mm 3 m, biały matowy</v>
      </c>
      <c r="C97" s="185">
        <f t="shared" si="3"/>
        <v>21.583200000000001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2163.3967400000001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zaślepka do toru Elegant II 2,35m koniak szczotkowany</v>
      </c>
      <c r="C98" s="185">
        <f t="shared" si="3"/>
        <v>22.013339999999999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2463.8685500000001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wózek dolny WD 18C HI-TEC - 2szt</v>
      </c>
      <c r="C99" s="185">
        <f t="shared" si="3"/>
        <v>17.546399999999998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2060.5293299999998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profil "U" do płyty laminowanej 18mm 3m jasny brąz</v>
      </c>
      <c r="C100" s="185">
        <f t="shared" si="3"/>
        <v>20.492090000000001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2293.6015000000002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profil "U" do płyty laminowanej 18mm 3m złoty</v>
      </c>
      <c r="C101" s="185">
        <f t="shared" si="3"/>
        <v>20.492090000000001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2293.6015000000002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Focus 16mm rączka 2,7m srebrny</v>
      </c>
      <c r="C102" s="185">
        <f t="shared" si="3"/>
        <v>23.26613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2604.08887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zaślepka do toru Elegant II 2,35 m czarny szczotkowany</v>
      </c>
      <c r="C103" s="185">
        <f t="shared" si="3"/>
        <v>22.013339999999999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2463.8685500000001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maska do toru Elegant II 2,35 m jasny brąz szczotkowany</v>
      </c>
      <c r="C104" s="185">
        <f t="shared" si="3"/>
        <v>22.013339999999999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2463.8685500000001</v>
      </c>
      <c r="L104" s="459" t="s">
        <v>539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zaślepka do toru Hide N srebrna</v>
      </c>
      <c r="C105" s="185">
        <f t="shared" si="3"/>
        <v>18.523420000000002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2073.2554399999999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tor dolny Simple/Blue 1,5m (do płyty laminowanej 10mm) srebrny</v>
      </c>
      <c r="C106" s="185">
        <f t="shared" si="3"/>
        <v>22.79579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2349.9249199999999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Simple tor dolny 1,5 m oliwka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kątownik 10x18mm 3m srebrny</v>
      </c>
      <c r="C108" s="185">
        <f t="shared" si="3"/>
        <v>21.012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2193.4442399999998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Blue-C tor dolny 2m, srebrny</v>
      </c>
      <c r="C109" s="185">
        <f t="shared" si="3"/>
        <v>28.207630000000002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2716.14725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Blue-V tor dolny 1,5m srebrny</v>
      </c>
      <c r="C110" s="185">
        <f t="shared" si="3"/>
        <v>25.674769999999999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2370.2706699999999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Focus 18 mm rączka 2,7 m, srebrna</v>
      </c>
      <c r="C111" s="185">
        <f t="shared" si="3"/>
        <v>23.26613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2604.08887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kątownik K2 2,35 m czarny szczotkowany</v>
      </c>
      <c r="C112" s="185">
        <f t="shared" si="3"/>
        <v>23.26613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2604.08887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kątownik K2 2,35 m  oliwka ciemna szczotkowana</v>
      </c>
      <c r="C113" s="185">
        <f t="shared" si="3"/>
        <v>23.26613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2604.08887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profil "U" do płyty laminowanej 18mm 3m biały połysk</v>
      </c>
      <c r="C114" s="185">
        <f t="shared" si="3"/>
        <v>27.009599999999999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2383.7428100000002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Beta 16 rączka 2,70 m srebrny</v>
      </c>
      <c r="C115" s="185">
        <f t="shared" si="3"/>
        <v>29.4984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3024.74946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045690Focus II 16 mm rączka 2,7 m, srebrna</v>
      </c>
      <c r="C116" s="185">
        <f t="shared" si="3"/>
        <v>28.545750000000002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3195.0168899999999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maska do toru Elegant II 3 m biały połysk</v>
      </c>
      <c r="C117" s="185">
        <f t="shared" si="3"/>
        <v>21.542400000000001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2263.5540099999998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Blue-V tor dolny 1,5m jasny brąz</v>
      </c>
      <c r="C118" s="185">
        <f t="shared" si="3"/>
        <v>28.695329999999998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2960.2950700000001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kątownik K2 Decor 2,35 m jasny brąz szczotkowany</v>
      </c>
      <c r="C119" s="185">
        <f t="shared" si="3"/>
        <v>23.26613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2604.08887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listwa łącząca T04 3m srebrny</v>
      </c>
      <c r="C120" s="185">
        <f t="shared" si="3"/>
        <v>24.697890000000001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2764.34033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Blue-C tor dolny 2m jasny brąz</v>
      </c>
      <c r="C121" s="185" t="e">
        <f t="shared" si="3"/>
        <v>#N/A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 t="e">
        <v>#N/A</v>
      </c>
      <c r="I121" s="460" t="e">
        <v>#N/A</v>
      </c>
      <c r="J121" s="460" t="e">
        <v>#N/A</v>
      </c>
      <c r="K121" s="460" t="e">
        <v>#N/A</v>
      </c>
      <c r="L121" s="459" t="e">
        <v>#N/A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Beta 18 rączka 2,70m srebrny</v>
      </c>
      <c r="C122" s="185">
        <f t="shared" si="3"/>
        <v>29.4984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2944.62372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úhelník K2 Decor 3m oliva</v>
      </c>
      <c r="C123" s="185">
        <f t="shared" si="3"/>
        <v>26.04017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2914.5762300000001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úhelník K2 Decor 3m stříbrná</v>
      </c>
      <c r="C124" s="185">
        <f t="shared" si="3"/>
        <v>21.266999999999999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2343.6801399999999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Focus II 18mm rączka 2,7m srebrny</v>
      </c>
      <c r="C125" s="185">
        <f t="shared" si="3"/>
        <v>28.545750000000002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3195.0168899999999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Micra tor górny / dolny 3 m, srebrny anodowany</v>
      </c>
      <c r="C126" s="185">
        <f t="shared" si="3"/>
        <v>20.6448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2283.58554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profil "U" Decor do płyty laminowanej 16mm 3m srebrny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Szpros S20 3m srebrny</v>
      </c>
      <c r="C128" s="185">
        <f t="shared" si="3"/>
        <v>21.725999999999999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2393.7587699999999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Hide N tor dolny 1,7 m, srebrny</v>
      </c>
      <c r="C129" s="185">
        <f t="shared" si="3"/>
        <v>24.60145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2719.9571500000002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Hide M tor dolny 2,35m srebrny</v>
      </c>
      <c r="C130" s="185" t="e">
        <f t="shared" si="3"/>
        <v>#N/A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 t="e">
        <v>#N/A</v>
      </c>
      <c r="I130" s="460" t="e">
        <v>#N/A</v>
      </c>
      <c r="J130" s="460" t="e">
        <v>#N/A</v>
      </c>
      <c r="K130" s="460" t="e">
        <v>#N/A</v>
      </c>
      <c r="L130" s="459" t="e">
        <v>#N/A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Focus 16mm rączka 2,7m jasny brąz</v>
      </c>
      <c r="C131" s="185">
        <f t="shared" si="3"/>
        <v>29.08267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3255.1110800000001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maskownica 2,35m srebrna</v>
      </c>
      <c r="C132" s="185">
        <f t="shared" ref="C132:C195" si="5">IF($A$2=1,H132,IF($A$2=2,I132,IF($A$2=3,J132,IF($A$2=4,K132,IF($A$2&gt;4,O132,"zadat jazyk")))))</f>
        <v>22.593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2493.9160400000001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00036 profil "U" Decor 18mm 3m stříbrná</v>
      </c>
      <c r="C133" s="185">
        <f t="shared" si="5"/>
        <v>24.518930000000001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2744.3092099999999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wózek dolny WD 10C HI-TEC - 2szt</v>
      </c>
      <c r="C134" s="185">
        <f t="shared" si="5"/>
        <v>26.3874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2624.35581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First tor górny / dolny 1,8m jasny brąz</v>
      </c>
      <c r="C135" s="185">
        <f t="shared" si="5"/>
        <v>32.609400000000001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3375.29988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First tor górny / dolny 1,8m srebrny</v>
      </c>
      <c r="C136" s="185">
        <f t="shared" si="5"/>
        <v>29.631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3054.79655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Simple tor dolny 2 m srebrny</v>
      </c>
      <c r="C137" s="185">
        <f t="shared" si="5"/>
        <v>27.562619999999999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3000.98659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Comfort wózek górny 18mm - 2szt</v>
      </c>
      <c r="C138" s="185">
        <f t="shared" si="5"/>
        <v>25.245000000000001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2839.63526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Doubler II maskownica 2,35m jasny brąz</v>
      </c>
      <c r="C139" s="185">
        <f t="shared" si="5"/>
        <v>27.113990000000001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3034.7650199999998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Future wózek górny 10mm L+P</v>
      </c>
      <c r="C140" s="185">
        <f t="shared" si="5"/>
        <v>25.245000000000001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2726.8697200000001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- listwa pozioma górna 1,7 m złota</v>
      </c>
      <c r="C141" s="185">
        <f t="shared" si="5"/>
        <v>50.755200000000002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3705.8187600000001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Blue-C tor dolny 2,5m srebrny</v>
      </c>
      <c r="C142" s="185" t="e">
        <f t="shared" si="5"/>
        <v>#N/A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 t="e">
        <v>#N/A</v>
      </c>
      <c r="I142" s="460" t="e">
        <v>#N/A</v>
      </c>
      <c r="J142" s="460" t="e">
        <v>#N/A</v>
      </c>
      <c r="K142" s="460" t="e">
        <v>#N/A</v>
      </c>
      <c r="L142" s="459" t="e">
        <v>#N/A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Maxim listwa łącząca H18 1,8 m srebrna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Szpros S20 3m jasny brąz</v>
      </c>
      <c r="C144" s="185">
        <f t="shared" si="5"/>
        <v>26.219149999999999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2934.6077500000001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profil "U" do płyty laminowanej 16mm 3m jasny brąz</v>
      </c>
      <c r="C145" s="185">
        <f t="shared" si="5"/>
        <v>25.950690000000002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2904.5606699999998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maska do toru Elegant II 3 m czarny szczotkowany</v>
      </c>
      <c r="C146" s="185">
        <f t="shared" si="5"/>
        <v>28.098320000000001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3144.9382599999999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maska do toru Elegant II 3 m jasny brąz szczotkowany</v>
      </c>
      <c r="C147" s="185">
        <f t="shared" si="5"/>
        <v>28.098320000000001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3144.9382599999999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zaślepka do toru Elegant II 3m koniak szczotkowany</v>
      </c>
      <c r="C148" s="185">
        <f t="shared" si="5"/>
        <v>28.098320000000001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3144.9382599999999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Beta 18 rączka 2,70 m oliwka</v>
      </c>
      <c r="C149" s="185">
        <f t="shared" si="5"/>
        <v>32.986800000000002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3685.7872400000001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Maxim II maskownica do toru 2,5m srebrna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maskownica Galaxy 1,5m srebrny</v>
      </c>
      <c r="C151" s="185" t="e">
        <f t="shared" si="5"/>
        <v>#N/A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 t="e">
        <v>#N/A</v>
      </c>
      <c r="I151" s="460" t="e">
        <v>#N/A</v>
      </c>
      <c r="J151" s="460" t="e">
        <v>#N/A</v>
      </c>
      <c r="K151" s="460" t="e">
        <v>#N/A</v>
      </c>
      <c r="L151" s="459" t="e">
        <v>#N/A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profil "U" Decor 18mm 3m jasny brąz</v>
      </c>
      <c r="C152" s="185">
        <f t="shared" si="5"/>
        <v>30.6934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3435.3940899999998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Secret Line II profil ramkowy 2,7 m srebrny</v>
      </c>
      <c r="C153" s="185">
        <f t="shared" si="5"/>
        <v>26.948399999999999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2974.67083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Ergo 16 rączka 2,7 m srebrna</v>
      </c>
      <c r="C155" s="185" t="e">
        <f t="shared" si="5"/>
        <v>#N/A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 t="e">
        <v>#N/A</v>
      </c>
      <c r="I155" s="460" t="e">
        <v>#N/A</v>
      </c>
      <c r="J155" s="460" t="e">
        <v>#N/A</v>
      </c>
      <c r="K155" s="460" t="e">
        <v>#N/A</v>
      </c>
      <c r="L155" s="459" t="e">
        <v>#N/A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rączka 2,7m srebrna</v>
      </c>
      <c r="C156" s="185">
        <f t="shared" si="5"/>
        <v>33.579320000000003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2864.4975899999999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Focus II 18 mm rączka 2,7 m, złota</v>
      </c>
      <c r="C158" s="185">
        <f t="shared" si="5"/>
        <v>36.509929999999997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4086.4163100000001</v>
      </c>
      <c r="L158" s="459" t="s">
        <v>539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Factor 16 rączka srebrny 2,70 m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wspornik ścienny do toru Single</v>
      </c>
      <c r="C160" s="185" t="e">
        <f t="shared" si="5"/>
        <v>#N/A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 t="e">
        <v>#N/A</v>
      </c>
      <c r="I160" s="460" t="e">
        <v>#N/A</v>
      </c>
      <c r="J160" s="460" t="e">
        <v>#N/A</v>
      </c>
      <c r="K160" s="460" t="e">
        <v>#N/A</v>
      </c>
      <c r="L160" s="459" t="e">
        <v>#N/A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tor dolny Simple/Blue 2m (do płyty laminowanej 10mm) srebrny</v>
      </c>
      <c r="C161" s="185">
        <f t="shared" si="5"/>
        <v>30.410119999999999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3133.2333600000002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Simple tor dolny 2 m oliwka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Blue-V tor dolny 2m srebrny</v>
      </c>
      <c r="C163" s="185">
        <f t="shared" si="5"/>
        <v>33.713859999999997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3153.5790999999999</v>
      </c>
      <c r="L163" s="459" t="s">
        <v>538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Maxim wózek górny 18mm asymetryczny - 2szt</v>
      </c>
      <c r="C164" s="185">
        <f t="shared" si="5"/>
        <v>24.2668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2849.8865099999998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MDF profil wkładka 2,8m</v>
      </c>
      <c r="C165" s="185" t="e">
        <f t="shared" si="5"/>
        <v>#N/A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 t="e">
        <v>#N/A</v>
      </c>
      <c r="I165" s="460" t="e">
        <v>#N/A</v>
      </c>
      <c r="J165" s="460" t="e">
        <v>#N/A</v>
      </c>
      <c r="K165" s="460" t="e">
        <v>#N/A</v>
      </c>
      <c r="L165" s="459" t="e">
        <v>#N/A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Focus II 18mm rączka 2,7m jasny brąz</v>
      </c>
      <c r="C166" s="185">
        <f t="shared" si="5"/>
        <v>36.509929999999997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4086.4163100000001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Blue-C tor dolny 2,5m jasny brąz</v>
      </c>
      <c r="C167" s="185" t="e">
        <f t="shared" si="5"/>
        <v>#N/A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 t="e">
        <v>#N/A</v>
      </c>
      <c r="I167" s="460" t="e">
        <v>#N/A</v>
      </c>
      <c r="J167" s="460" t="e">
        <v>#N/A</v>
      </c>
      <c r="K167" s="460" t="e">
        <v>#N/A</v>
      </c>
      <c r="L167" s="459" t="e">
        <v>#N/A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Optima tor dolny 2m surowy</v>
      </c>
      <c r="C168" s="185">
        <f t="shared" si="5"/>
        <v>28.63524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3205.0324500000002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tor górny Galaxy B 50kg do ściany 1,5m</v>
      </c>
      <c r="C169" s="185">
        <f t="shared" si="5"/>
        <v>33.484079999999999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3701.89113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Pax záslepka do rączki (4 szt) srebrny</v>
      </c>
      <c r="C170" s="185">
        <f t="shared" si="5"/>
        <v>26.683199999999999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2747.3726000000001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Pax uchwyt przyklejany srebrny</v>
      </c>
      <c r="C171" s="185">
        <f t="shared" si="5"/>
        <v>24.255600000000001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2373.7272499999999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Pax uchwyt przyklejany przeźroczysty</v>
      </c>
      <c r="C172" s="185" t="e">
        <f t="shared" si="5"/>
        <v>#N/A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 t="e">
        <v>#N/A</v>
      </c>
      <c r="I172" s="460" t="e">
        <v>#N/A</v>
      </c>
      <c r="J172" s="460" t="e">
        <v>#N/A</v>
      </c>
      <c r="K172" s="460" t="e">
        <v>#N/A</v>
      </c>
      <c r="L172" s="459" t="e">
        <v>#N/A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Maxim II maskownica 2,5m, jasny brąz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Gemini II tor dolny 1,7m srebrny</v>
      </c>
      <c r="C174" s="185">
        <f t="shared" si="5"/>
        <v>32.4831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3114.8907599999998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Łącznik H08/16 srebrny-3m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maska do toru Elegant II 4,05 m biały połysk</v>
      </c>
      <c r="C176" s="185">
        <f t="shared" si="5"/>
        <v>29.07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3054.79655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Maxim wózek górny 18mm - 2szt</v>
      </c>
      <c r="C177" s="185">
        <f t="shared" si="5"/>
        <v>24.2668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2849.8865099999998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Maxim wózek górny 18mm - 2 szt.</v>
      </c>
      <c r="C178" s="185" t="e">
        <f t="shared" si="5"/>
        <v>#N/A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 t="e">
        <v>#N/A</v>
      </c>
      <c r="I178" s="460" t="e">
        <v>#N/A</v>
      </c>
      <c r="J178" s="460" t="e">
        <v>#N/A</v>
      </c>
      <c r="K178" s="460" t="e">
        <v>#N/A</v>
      </c>
      <c r="L178" s="459" t="e">
        <v>#N/A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Factor 16 II rączka 2,7m srebrny</v>
      </c>
      <c r="C179" s="185" t="e">
        <f t="shared" si="5"/>
        <v>#N/A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 t="e">
        <v>#N/A</v>
      </c>
      <c r="I179" s="460" t="e">
        <v>#N/A</v>
      </c>
      <c r="J179" s="460" t="e">
        <v>#N/A</v>
      </c>
      <c r="K179" s="460" t="e">
        <v>#N/A</v>
      </c>
      <c r="L179" s="459" t="e">
        <v>#N/A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Maxim listwa łącząca H18 1,8m jasny brąz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kątownik K2 3 m  oliwka ciemna szczotkowana</v>
      </c>
      <c r="C181" s="185">
        <f t="shared" si="5"/>
        <v>31.558800000000002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3325.2212399999999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Slim Line II profil ramowy 2,7 m srebrny</v>
      </c>
      <c r="C182" s="185">
        <f t="shared" si="5"/>
        <v>30.498000000000001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3355.2683499999998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Łącznik H08/16 oliwka-3m</v>
      </c>
      <c r="C183" s="185" t="e">
        <f t="shared" si="5"/>
        <v>#N/A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 t="e">
        <v>#N/A</v>
      </c>
      <c r="I183" s="460" t="e">
        <v>#N/A</v>
      </c>
      <c r="J183" s="460" t="e">
        <v>#N/A</v>
      </c>
      <c r="K183" s="460" t="e">
        <v>#N/A</v>
      </c>
      <c r="L183" s="459" t="e">
        <v>#N/A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listwa łącząca H08/18 3m jasny brąz</v>
      </c>
      <c r="C184" s="185">
        <f t="shared" si="5"/>
        <v>37.046849999999999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4146.5108899999996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Blue-V tor dolny 2 m, jasny brąz</v>
      </c>
      <c r="C185" s="185">
        <f t="shared" si="5"/>
        <v>37.583959999999998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3947.06023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spojovací lišta T Decor 3m stříbrná</v>
      </c>
      <c r="C186" s="185">
        <f t="shared" si="5"/>
        <v>34.210799999999999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3585.62997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Blue-C tor dolny 3m srebrny</v>
      </c>
      <c r="C187" s="185">
        <f t="shared" si="5"/>
        <v>40.997819999999997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3926.7144899999998</v>
      </c>
      <c r="L187" s="459" t="s">
        <v>540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Master wózek górny 10mm - 2szt</v>
      </c>
      <c r="C188" s="185">
        <f t="shared" si="5"/>
        <v>25.3689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2993.4061299999998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rączka 2,7m jasny brąz</v>
      </c>
      <c r="C189" s="185">
        <f t="shared" si="5"/>
        <v>41.357080000000003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3585.62997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listwa łącząca H04/18 3m srebrna</v>
      </c>
      <c r="C190" s="185">
        <f t="shared" si="5"/>
        <v>29.712599999999998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3285.1581900000001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listwa łącząca H08/18 3m srebrna</v>
      </c>
      <c r="C191" s="185">
        <f t="shared" si="5"/>
        <v>39.694769999999998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3395.3314300000002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Doubler II maskownica 3m srebrny</v>
      </c>
      <c r="C192" s="185">
        <f t="shared" si="5"/>
        <v>28.845600000000001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3174.9853699999999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Factor 18 II rączka 2,7m srebrny</v>
      </c>
      <c r="C193" s="185">
        <f t="shared" si="5"/>
        <v>45.462009999999999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4006.2905700000001</v>
      </c>
      <c r="L193" s="459" t="s">
        <v>538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Simple tor dolny 2,5 m srebrny</v>
      </c>
      <c r="C194" s="185">
        <f t="shared" si="5"/>
        <v>34.437539999999998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3723.25776</v>
      </c>
      <c r="L194" s="459" t="s">
        <v>540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kątownik K2 3 m czarny szczotkowany</v>
      </c>
      <c r="C195" s="185">
        <f t="shared" si="5"/>
        <v>31.558800000000002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3325.2212399999999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kątownik K2 Decor 3 m jasny brąz szczotkowany</v>
      </c>
      <c r="C196" s="185">
        <f t="shared" ref="C196:C259" si="7">IF($A$2=1,H196,IF($A$2=2,I196,IF($A$2=3,J196,IF($A$2=4,K196,IF($A$2&gt;4,O196,"zadat jazyk")))))</f>
        <v>31.558800000000002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3325.2212399999999</v>
      </c>
      <c r="L196" s="459" t="s">
        <v>539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Hide M tor dolny 3m srebrny</v>
      </c>
      <c r="C197" s="185">
        <f t="shared" si="7"/>
        <v>29.8307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3299.2979500000001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Hide N tor dolny 2,35 m srebrny</v>
      </c>
      <c r="C199" s="185">
        <f t="shared" si="7"/>
        <v>34.00788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3760.8069999999998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tor górny Simple/Blue 2,5 m (do płyty laminowanej 10 mm) srebrny</v>
      </c>
      <c r="C200" s="185" t="e">
        <f t="shared" si="7"/>
        <v>#N/A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 t="e">
        <v>#N/A</v>
      </c>
      <c r="I200" s="460" t="e">
        <v>#N/A</v>
      </c>
      <c r="J200" s="460" t="e">
        <v>#N/A</v>
      </c>
      <c r="K200" s="460" t="e">
        <v>#N/A</v>
      </c>
      <c r="L200" s="459" t="e">
        <v>#N/A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maskownica dolna Simple/Blue 1,5m (do płyty laminowanej 10mm) srebrny</v>
      </c>
      <c r="C201" s="185">
        <f t="shared" si="7"/>
        <v>34.248750000000001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3926.7144899999998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Doubler II maskownica 3m jasny brąz</v>
      </c>
      <c r="C202" s="185">
        <f t="shared" si="7"/>
        <v>34.630749999999999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3876.0862200000001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Blue-V tor dolny 2,5m srebrny</v>
      </c>
      <c r="C203" s="185">
        <f t="shared" si="7"/>
        <v>41.627099999999999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3947.06023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tłumienie Mini SV-60 (40 - 60kg)</v>
      </c>
      <c r="C204" s="185">
        <f t="shared" si="7"/>
        <v>38.056199999999997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3772.5116400000002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Fiesta 16 rączka 2,7 m srebrna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Hide M tor dolny 3 m oliwka</v>
      </c>
      <c r="C206" s="185">
        <f t="shared" si="7"/>
        <v>36.22298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4006.2905000000001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Blue-C tor dolny 3m jasny brąz</v>
      </c>
      <c r="C207" s="185" t="e">
        <f t="shared" si="7"/>
        <v>#N/A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 t="e">
        <v>#N/A</v>
      </c>
      <c r="I207" s="460" t="e">
        <v>#N/A</v>
      </c>
      <c r="J207" s="460" t="e">
        <v>#N/A</v>
      </c>
      <c r="K207" s="460" t="e">
        <v>#N/A</v>
      </c>
      <c r="L207" s="459" t="e">
        <v>#N/A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zaślepka do toru Elegant II 4,05m koniak szczotkowany</v>
      </c>
      <c r="C208" s="185">
        <f t="shared" si="7"/>
        <v>37.941690000000001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4246.6681500000004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Fala rączka 10mm 2,5m srebrny</v>
      </c>
      <c r="C209" s="185" t="e">
        <f t="shared" si="7"/>
        <v>#N/A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 t="e">
        <v>#N/A</v>
      </c>
      <c r="I209" s="460" t="e">
        <v>#N/A</v>
      </c>
      <c r="J209" s="460" t="e">
        <v>#N/A</v>
      </c>
      <c r="K209" s="460" t="e">
        <v>#N/A</v>
      </c>
      <c r="L209" s="459" t="e">
        <v>#N/A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klin do płyty laminowanej grubość 2 mm (100 szt.)</v>
      </c>
      <c r="C210" s="185">
        <f t="shared" si="7"/>
        <v>30.24597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3385.3154599999998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Szpros S18 z klejem 3m srebrny</v>
      </c>
      <c r="C211" s="185">
        <f t="shared" si="7"/>
        <v>39.552430000000001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4426.9511599999996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Optima tor dolny 2,4m surowy</v>
      </c>
      <c r="C212" s="185" t="e">
        <f t="shared" si="7"/>
        <v>#N/A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 t="e">
        <v>#N/A</v>
      </c>
      <c r="I212" s="460" t="e">
        <v>#N/A</v>
      </c>
      <c r="J212" s="460" t="e">
        <v>#N/A</v>
      </c>
      <c r="K212" s="460" t="e">
        <v>#N/A</v>
      </c>
      <c r="L212" s="459" t="e">
        <v>#N/A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Listwa łącząca H04/18 3m, jasny brąz</v>
      </c>
      <c r="C213" s="185">
        <f t="shared" si="7"/>
        <v>35.704569999999997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3996.2750099999998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maskownica dolna Simple/Blue 1,5 m (do płyty laminowanej 10 mm) oliwka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Pax zaślepka do rączki (4 szt), biały połysk</v>
      </c>
      <c r="C215" s="185">
        <f t="shared" si="7"/>
        <v>34.68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3567.4838199999999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wózek dolny WD10 V Duo 60kg</v>
      </c>
      <c r="C216" s="185" t="e">
        <f t="shared" si="7"/>
        <v>#N/A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 t="e">
        <v>#N/A</v>
      </c>
      <c r="I216" s="460" t="e">
        <v>#N/A</v>
      </c>
      <c r="J216" s="460" t="e">
        <v>#N/A</v>
      </c>
      <c r="K216" s="460" t="e">
        <v>#N/A</v>
      </c>
      <c r="L216" s="459" t="e">
        <v>#N/A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Factor 16 II rączka 2,7m jasny brąz</v>
      </c>
      <c r="C217" s="185" t="e">
        <f t="shared" si="7"/>
        <v>#N/A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 t="e">
        <v>#N/A</v>
      </c>
      <c r="I217" s="460" t="e">
        <v>#N/A</v>
      </c>
      <c r="J217" s="460" t="e">
        <v>#N/A</v>
      </c>
      <c r="K217" s="460" t="e">
        <v>#N/A</v>
      </c>
      <c r="L217" s="459" t="e">
        <v>#N/A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Factor 18 II rączka 2,7m złoty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Simple tor górny 1,5 m srebrny</v>
      </c>
      <c r="C219" s="185">
        <f t="shared" si="7"/>
        <v>41.814579999999999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Gemini II tor dolny 1,7m jasny brąz</v>
      </c>
      <c r="C220" s="185">
        <f t="shared" si="7"/>
        <v>36.778399999999998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4116.4633899999999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maska do toru Elegant II 4,05 m czarny szczotkowany</v>
      </c>
      <c r="C221" s="185">
        <f t="shared" si="7"/>
        <v>37.941690000000001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4246.6681500000004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maska do toru Elegant II 4,05 m jasny brąz szczotkowany</v>
      </c>
      <c r="C222" s="185">
        <f t="shared" si="7"/>
        <v>37.941690000000001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4246.6681500000004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maskownica Galaxy 2m</v>
      </c>
      <c r="C223" s="185">
        <f t="shared" si="7"/>
        <v>39.507919999999999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4369.6061300000001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Pax uchwyt przyklejany biały</v>
      </c>
      <c r="C224" s="185">
        <f t="shared" si="7"/>
        <v>31.518000000000001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3084.84366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Blue-V tor dolny 2,5m jasny brąz</v>
      </c>
      <c r="C226" s="185">
        <f t="shared" si="7"/>
        <v>46.504049999999999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4923.6526999999996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Polo rączka 10mm 2,5m srebrny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Simple tor dolny 2,5 m oliwka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listwa łącząca "T" 3m srebrna</v>
      </c>
      <c r="C230" s="185">
        <f t="shared" si="7"/>
        <v>33.609000000000002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3715.8343500000001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Factor 18 II rączka 2,7m jasny brąz</v>
      </c>
      <c r="C231" s="185">
        <f t="shared" si="7"/>
        <v>43.48977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4867.6428800000003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Simple tor dolny 3 m srebrny</v>
      </c>
      <c r="C232" s="185">
        <f t="shared" si="7"/>
        <v>41.375390000000003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4384.4920899999997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zaślepka do toru 3,5m srebrna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kątownik 18x18mm 3m srebrny</v>
      </c>
      <c r="C234" s="185">
        <f t="shared" si="7"/>
        <v>35.812199999999997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3745.88184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kątownik 22x22mm 3m srebrny</v>
      </c>
      <c r="C235" s="185">
        <f t="shared" si="7"/>
        <v>37.790999999999997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3946.1963700000001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Uno rączka 18 mm 2,70 m, srebrna</v>
      </c>
      <c r="C236" s="185">
        <f t="shared" si="7"/>
        <v>40.982089999999999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4659.1587399999999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listwa łącząca H18 2,5 m, srebrna</v>
      </c>
      <c r="C259" s="185" t="e">
        <f t="shared" si="7"/>
        <v>#N/A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 t="e">
        <v>#N/A</v>
      </c>
      <c r="I259" s="460" t="e">
        <v>#N/A</v>
      </c>
      <c r="J259" s="460" t="e">
        <v>#N/A</v>
      </c>
      <c r="K259" s="460" t="e">
        <v>#N/A</v>
      </c>
      <c r="L259" s="459" t="e">
        <v>#N/A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listwa łącząca "T" 3m jasny brąz</v>
      </c>
      <c r="C260" s="185">
        <f t="shared" ref="C260:C323" si="9">IF($A$2=1,H260,IF($A$2=2,I260,IF($A$2=3,J260,IF($A$2=4,K260,IF($A$2&gt;4,O260,"zadat jazyk")))))</f>
        <v>40.805219999999998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4567.1710700000003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spojovací lišta T Decor 3m oliva</v>
      </c>
      <c r="C261" s="185">
        <f t="shared" si="9"/>
        <v>40.08934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4487.0453600000001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zestaw Fold do 2 skrzydeł lewy</v>
      </c>
      <c r="C262" s="185">
        <f t="shared" si="9"/>
        <v>47.248139999999999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5288.3034799999996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profil "U" 18 mm 3 m oliwka szczotkowana</v>
      </c>
      <c r="C263" s="185">
        <f t="shared" si="9"/>
        <v>36.934199999999997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3295.17416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profil "U" 18 mm 3 m  oliwka ciemna szczotkowana</v>
      </c>
      <c r="C264" s="185">
        <f t="shared" si="9"/>
        <v>36.934199999999997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3295.17416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Simple tor górny 1,5 m jasny brąz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profil "U" 18 mm 3 m czarny szczotkowany</v>
      </c>
      <c r="C268" s="185">
        <f t="shared" si="9"/>
        <v>36.934199999999997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3295.17416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maskownica 4,05m srebrna</v>
      </c>
      <c r="C269" s="185">
        <f t="shared" si="9"/>
        <v>38.943600000000004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4286.7308199999998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Blue tor górny 1,5m srebrny</v>
      </c>
      <c r="C270" s="185">
        <f t="shared" si="9"/>
        <v>40.289879999999997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4425.1835799999999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Polo rączka 10mm 2,70m srebrny</v>
      </c>
      <c r="C271" s="185">
        <f t="shared" si="9"/>
        <v>45.41854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5096.5906000000004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Simple tor dolny 3 m oliwka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Gemini II tor dolny 1,7m biały połysk</v>
      </c>
      <c r="C273" s="185" t="e">
        <f t="shared" si="9"/>
        <v>#N/A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 t="e">
        <v>#N/A</v>
      </c>
      <c r="I273" s="460" t="e">
        <v>#N/A</v>
      </c>
      <c r="J273" s="460" t="e">
        <v>#N/A</v>
      </c>
      <c r="K273" s="460" t="e">
        <v>#N/A</v>
      </c>
      <c r="L273" s="459" t="e">
        <v>#N/A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Maxim II tor dolny 1,8m srebrny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Blue-V tor dolny 3m srebrny</v>
      </c>
      <c r="C275" s="185">
        <f t="shared" si="9"/>
        <v>49.288629999999998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4730.3686699999998</v>
      </c>
      <c r="L275" s="459" t="s">
        <v>538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Gemini II tor dolny 2,35m srebrny</v>
      </c>
      <c r="C276" s="185">
        <f t="shared" si="9"/>
        <v>41.34393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4306.7623700000004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Blue-C tor dolny 4m srebrny</v>
      </c>
      <c r="C277" s="185">
        <f t="shared" si="9"/>
        <v>54.590339999999998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5259.3562300000003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Libra rączka 18 mm 2,70 m srebrna</v>
      </c>
      <c r="C278" s="185">
        <f t="shared" si="9"/>
        <v>45.355609999999999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4994.8622400000004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First tor górny / dolny 3m jasny brąz</v>
      </c>
      <c r="C279" s="185" t="e">
        <f t="shared" si="9"/>
        <v>#N/A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 t="e">
        <v>#N/A</v>
      </c>
      <c r="I279" s="460" t="e">
        <v>#N/A</v>
      </c>
      <c r="J279" s="460" t="e">
        <v>#N/A</v>
      </c>
      <c r="K279" s="460" t="e">
        <v>#N/A</v>
      </c>
      <c r="L279" s="459" t="e">
        <v>#N/A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First tor górny / dolny 3 m srebrny</v>
      </c>
      <c r="C280" s="185">
        <f t="shared" si="9"/>
        <v>49.368000000000002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5057.9418299999998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kątownik 18x36mm 3 m srebrny</v>
      </c>
      <c r="C282" s="185">
        <f t="shared" si="9"/>
        <v>39.565800000000003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4136.4949200000001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zaślepka do toru Elegant II 6m biały połysk</v>
      </c>
      <c r="C283" s="185">
        <f t="shared" si="9"/>
        <v>0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0</v>
      </c>
      <c r="K283" s="460">
        <v>4527.1084300000002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klin mocujący Simple 40 szt. (szkło 4 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listwa łącząca Simple/Blue H21 3m (do płyty laminowanej 18mm) srebrny</v>
      </c>
      <c r="C285" s="185">
        <f t="shared" si="9"/>
        <v>46.268070000000002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4465.8751000000002</v>
      </c>
      <c r="L285" s="459" t="s">
        <v>538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Fiona II rączka 2,7m srebrna</v>
      </c>
      <c r="C286" s="185" t="e">
        <f t="shared" si="9"/>
        <v>#N/A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 t="e">
        <v>#N/A</v>
      </c>
      <c r="I286" s="460" t="e">
        <v>#N/A</v>
      </c>
      <c r="J286" s="460" t="e">
        <v>#N/A</v>
      </c>
      <c r="K286" s="460" t="e">
        <v>#N/A</v>
      </c>
      <c r="L286" s="459" t="e">
        <v>#N/A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uchwyt Push 90mm nikiel szlifowany</v>
      </c>
      <c r="C287" s="185" t="e">
        <f t="shared" si="9"/>
        <v>#N/A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 t="e">
        <v>#N/A</v>
      </c>
      <c r="I287" s="460" t="e">
        <v>#N/A</v>
      </c>
      <c r="J287" s="460" t="e">
        <v>#N/A</v>
      </c>
      <c r="K287" s="460" t="e">
        <v>#N/A</v>
      </c>
      <c r="L287" s="459" t="e">
        <v>#N/A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Era rączka 18 mm 2,70 m, srebrna</v>
      </c>
      <c r="C288" s="185">
        <f t="shared" si="9"/>
        <v>42.932870000000001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4679.5044900000003</v>
      </c>
      <c r="L288" s="459" t="s">
        <v>538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Ursus tor górny 1,2m surowy</v>
      </c>
      <c r="C289" s="185" t="e">
        <f t="shared" si="9"/>
        <v>#N/A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 t="e">
        <v>#N/A</v>
      </c>
      <c r="I289" s="460" t="e">
        <v>#N/A</v>
      </c>
      <c r="J289" s="460" t="e">
        <v>#N/A</v>
      </c>
      <c r="K289" s="460" t="e">
        <v>#N/A</v>
      </c>
      <c r="L289" s="459" t="e">
        <v>#N/A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Szpros S18 z klejem 3m biały połysk</v>
      </c>
      <c r="C290" s="185">
        <f t="shared" si="9"/>
        <v>51.453940000000003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5759.0426799999996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Maxim II maskownica 3,5m, jasny brąz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listwa łącząca H08/18, 3 m, biała matowa</v>
      </c>
      <c r="C292" s="185">
        <f t="shared" si="9"/>
        <v>42.829799999999999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4416.9351999999999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Blue tor górny 1,5m jasny brąz</v>
      </c>
      <c r="C293" s="185">
        <f t="shared" si="9"/>
        <v>47.466999999999999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5534.0228800000004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Exclusive tor górny 1,2m srebrny</v>
      </c>
      <c r="C294" s="185" t="e">
        <f t="shared" si="9"/>
        <v>#N/A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 t="e">
        <v>#N/A</v>
      </c>
      <c r="I294" s="460" t="e">
        <v>#N/A</v>
      </c>
      <c r="J294" s="460" t="e">
        <v>#N/A</v>
      </c>
      <c r="K294" s="460" t="e">
        <v>#N/A</v>
      </c>
      <c r="L294" s="459" t="e">
        <v>#N/A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maskownica dolna Simple/Blue 2m (do płyty laminowanej 10mm) srebrny</v>
      </c>
      <c r="C295" s="185">
        <f t="shared" si="9"/>
        <v>45.701709999999999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5167.8005300000004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Uno rączka 18mm 2,70m, jasny brąz</v>
      </c>
      <c r="C296" s="185">
        <f t="shared" si="9"/>
        <v>48.53633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5656.0965699999997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Alfa II rączka 18mm 2,70m srebrny</v>
      </c>
      <c r="C297" s="185">
        <f t="shared" si="9"/>
        <v>45.701709999999999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4867.6428800000003</v>
      </c>
      <c r="L297" s="459" t="s">
        <v>538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Maxim listwa łącząca H18 2,5m jasny brąz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klin mocujący Blue 40szt(szkło 4mm)</v>
      </c>
      <c r="C299" s="185">
        <f t="shared" si="9"/>
        <v>42.618220000000001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4838.6564200000003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Hide N tor dolny 3m srebrny</v>
      </c>
      <c r="C300" s="185">
        <f t="shared" si="9"/>
        <v>43.414319999999996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4801.6572299999998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Łącznik H16-Decor srebrny-3 m</v>
      </c>
      <c r="C301" s="185">
        <f t="shared" si="9"/>
        <v>48.042000000000002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4617.2497100000001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Rekord rączka 18 mm 2,70 m, srebrna</v>
      </c>
      <c r="C302" s="185">
        <f t="shared" si="9"/>
        <v>51.239409999999999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4872.7885500000002</v>
      </c>
      <c r="L302" s="459" t="s">
        <v>538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Doubler II maskownica 4,05m jasny brąz</v>
      </c>
      <c r="C303" s="185">
        <f t="shared" si="9"/>
        <v>46.800719999999998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5238.2248399999999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Blue-C tor dolny 4m jasny brąz</v>
      </c>
      <c r="C304" s="185" t="e">
        <f t="shared" si="9"/>
        <v>#N/A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 t="e">
        <v>#N/A</v>
      </c>
      <c r="I304" s="460" t="e">
        <v>#N/A</v>
      </c>
      <c r="J304" s="460" t="e">
        <v>#N/A</v>
      </c>
      <c r="K304" s="460" t="e">
        <v>#N/A</v>
      </c>
      <c r="L304" s="459" t="e">
        <v>#N/A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Blue-V tor dolny 3 m, jasny brąz</v>
      </c>
      <c r="C305" s="185">
        <f t="shared" si="9"/>
        <v>55.219630000000002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5910.4174800000001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Libra rączka 18 mm 2,70 m oliwka</v>
      </c>
      <c r="C306" s="185" t="e">
        <f t="shared" si="9"/>
        <v>#N/A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 t="e">
        <v>#N/A</v>
      </c>
      <c r="I306" s="460" t="e">
        <v>#N/A</v>
      </c>
      <c r="J306" s="460" t="e">
        <v>#N/A</v>
      </c>
      <c r="K306" s="460" t="e">
        <v>#N/A</v>
      </c>
      <c r="L306" s="459" t="e">
        <v>#N/A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horní vedení 1,7m stříbrná</v>
      </c>
      <c r="C307" s="185">
        <f t="shared" si="9"/>
        <v>52.183329999999998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5448.5553399999999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maskownica dolna Simple/Blue 2 m (do płyty laminowanej 10 mm) oliwka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Elegant II tor dolny 2,35m złoty</v>
      </c>
      <c r="C309" s="185">
        <f t="shared" si="9"/>
        <v>53.968200000000003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5528.6810599999999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maskownica 4,3m srebrna</v>
      </c>
      <c r="C310" s="185" t="e">
        <f t="shared" si="9"/>
        <v>#N/A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 t="e">
        <v>#N/A</v>
      </c>
      <c r="I310" s="460" t="e">
        <v>#N/A</v>
      </c>
      <c r="J310" s="460" t="e">
        <v>#N/A</v>
      </c>
      <c r="K310" s="460" t="e">
        <v>#N/A</v>
      </c>
      <c r="L310" s="459" t="e">
        <v>#N/A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kątownik 18x36mm 3m jasny brąz</v>
      </c>
      <c r="C311" s="185">
        <f t="shared" si="9"/>
        <v>46.174309999999998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5168.1146799999997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Hide N tor dolny 3 m oliwka</v>
      </c>
      <c r="C312" s="185">
        <f t="shared" si="9"/>
        <v>50.871980000000001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5626.48153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Elegant II tor dolny 2,35m jasny brąz</v>
      </c>
      <c r="C313" s="185">
        <f t="shared" si="9"/>
        <v>53.968200000000003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5528.6810599999999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Era rączka 18mm 2,70m, jasny brąz</v>
      </c>
      <c r="C314" s="185">
        <f t="shared" si="9"/>
        <v>50.194949999999999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5849.3806000000004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Optima 16 rączka 2,4 m srebrna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Optima 18 rączka 2,4 m srebrna</v>
      </c>
      <c r="C316" s="185">
        <f t="shared" si="9"/>
        <v>46.800719999999998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5238.2248399999999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tłumienie 10/18mm 14-25kg lewe</v>
      </c>
      <c r="C317" s="185">
        <f t="shared" si="9"/>
        <v>44.777999999999999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5064.1871000000001</v>
      </c>
      <c r="L317" s="459" t="s">
        <v>538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tłumienie 10/18mm 14-25kg prawe</v>
      </c>
      <c r="C318" s="185">
        <f t="shared" si="9"/>
        <v>44.777999999999999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5064.1871000000001</v>
      </c>
      <c r="L318" s="459" t="s">
        <v>538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tłumienie 10/18mm 25-50kg lewe</v>
      </c>
      <c r="C319" s="185">
        <f t="shared" si="9"/>
        <v>44.777999999999999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5064.1871000000001</v>
      </c>
      <c r="L319" s="459" t="s">
        <v>538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tłumienie Sevromatic 10/18mm 25-50kg prawe</v>
      </c>
      <c r="C320" s="185">
        <f t="shared" si="9"/>
        <v>44.777999999999999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5064.1871000000001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Simple tor górny 2 m srebrny</v>
      </c>
      <c r="C321" s="185">
        <f t="shared" si="9"/>
        <v>52.592370000000003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5595.0597200000002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Exclusive tor górny 1,2m jasny brąz</v>
      </c>
      <c r="C322" s="185" t="e">
        <f t="shared" si="9"/>
        <v>#N/A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 t="e">
        <v>#N/A</v>
      </c>
      <c r="I322" s="460" t="e">
        <v>#N/A</v>
      </c>
      <c r="J322" s="460" t="e">
        <v>#N/A</v>
      </c>
      <c r="K322" s="460" t="e">
        <v>#N/A</v>
      </c>
      <c r="L322" s="459" t="e">
        <v>#N/A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Comfort tor dolny 1,7m jasny brąz</v>
      </c>
      <c r="C324" s="185">
        <f t="shared" ref="C324:C387" si="11">IF($A$2=1,H324,IF($A$2=2,I324,IF($A$2=3,J324,IF($A$2=4,K324,IF($A$2&gt;4,O324,"zadat jazyk")))))</f>
        <v>62.933999999999997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6520.2377500000002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Comfort tor dolny 1,7m srebrny</v>
      </c>
      <c r="C325" s="185" t="e">
        <f t="shared" si="11"/>
        <v>#N/A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 t="e">
        <v>#N/A</v>
      </c>
      <c r="I325" s="460" t="e">
        <v>#N/A</v>
      </c>
      <c r="J325" s="460" t="e">
        <v>#N/A</v>
      </c>
      <c r="K325" s="460" t="e">
        <v>#N/A</v>
      </c>
      <c r="L325" s="459" t="e">
        <v>#N/A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Alfa II rączka 18mm 2,70m jasny brąz</v>
      </c>
      <c r="C326" s="185">
        <f t="shared" si="11"/>
        <v>54.764899999999997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6129.62464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Maxim listwa łącząca H25 1,8m srebrny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Łącznik H16 3 m oliwka</v>
      </c>
      <c r="C328" s="185" t="e">
        <f t="shared" si="11"/>
        <v>#N/A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 t="e">
        <v>#N/A</v>
      </c>
      <c r="I328" s="460" t="e">
        <v>#N/A</v>
      </c>
      <c r="J328" s="460" t="e">
        <v>#N/A</v>
      </c>
      <c r="K328" s="460" t="e">
        <v>#N/A</v>
      </c>
      <c r="L328" s="459" t="e">
        <v>#N/A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listwa łącząca H10 3m złoty</v>
      </c>
      <c r="C329" s="185">
        <f t="shared" si="11"/>
        <v>56.915999999999997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5859.1999500000002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Prince 02 rączka 2,7m srebrny</v>
      </c>
      <c r="C330" s="185" t="e">
        <f t="shared" si="11"/>
        <v>#N/A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 t="e">
        <v>#N/A</v>
      </c>
      <c r="I330" s="460" t="e">
        <v>#N/A</v>
      </c>
      <c r="J330" s="460" t="e">
        <v>#N/A</v>
      </c>
      <c r="K330" s="460" t="e">
        <v>#N/A</v>
      </c>
      <c r="L330" s="459" t="e">
        <v>#N/A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Gemini II tor dolny 2,35m jasny brąz</v>
      </c>
      <c r="C331" s="185">
        <f t="shared" si="11"/>
        <v>50.91704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5698.9484899999998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Simple tor dolny 4 m srebrny</v>
      </c>
      <c r="C332" s="185">
        <f t="shared" si="11"/>
        <v>55.125230000000002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5869.7263800000001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rączka 18 mm 2,70 m złota</v>
      </c>
      <c r="C333" s="185" t="e">
        <f t="shared" si="11"/>
        <v>#N/A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 t="e">
        <v>#N/A</v>
      </c>
      <c r="I333" s="460" t="e">
        <v>#N/A</v>
      </c>
      <c r="J333" s="460" t="e">
        <v>#N/A</v>
      </c>
      <c r="K333" s="460" t="e">
        <v>#N/A</v>
      </c>
      <c r="L333" s="459" t="e">
        <v>#N/A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zaślepka do toru Elegant II 6m czarny szczotkowany</v>
      </c>
      <c r="C334" s="185">
        <f t="shared" si="11"/>
        <v>0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0</v>
      </c>
      <c r="K334" s="460">
        <v>6289.8761000000004</v>
      </c>
      <c r="L334" s="459" t="s">
        <v>539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zaślepka do toru Elegant II 6m jasny brąz szczotkowany</v>
      </c>
      <c r="C335" s="185">
        <f t="shared" si="11"/>
        <v>0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0</v>
      </c>
      <c r="K335" s="460">
        <v>6289.8761000000004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zaślepka do toru Elegant II 6m koniak szczotkowany</v>
      </c>
      <c r="C336" s="185" t="e">
        <f t="shared" si="11"/>
        <v>#N/A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 t="e">
        <v>#N/A</v>
      </c>
      <c r="I336" s="460" t="e">
        <v>#N/A</v>
      </c>
      <c r="J336" s="460" t="e">
        <v>#N/A</v>
      </c>
      <c r="K336" s="460" t="e">
        <v>#N/A</v>
      </c>
      <c r="L336" s="459" t="e">
        <v>#N/A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Maxim II zaślepka do toru 4,3m jasny brąz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listwa łącząca H10 3m jasny brąz</v>
      </c>
      <c r="C338" s="185">
        <f t="shared" si="11"/>
        <v>56.915999999999997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5859.1999500000002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listwa łącząca H10 3m srebrna</v>
      </c>
      <c r="C339" s="185">
        <f t="shared" si="11"/>
        <v>51.754800000000003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4687.3598899999997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listwa łącząca H10 3m srebrna</v>
      </c>
      <c r="C340" s="185">
        <f t="shared" si="11"/>
        <v>51.754800000000003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4687.3598899999997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Doubler II tor dolny 1,7m srebrna</v>
      </c>
      <c r="C341" s="185">
        <f t="shared" si="11"/>
        <v>53.335799999999999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5568.7437300000001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02290 profil "U" do płyty laminowanej 36mm srebrny 3m</v>
      </c>
      <c r="C342" s="185">
        <f t="shared" si="11"/>
        <v>47.144399999999997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5198.1621699999996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04190 Idea tor górny/dolny 2m, srebrny</v>
      </c>
      <c r="C343" s="185" t="e">
        <f t="shared" si="11"/>
        <v>#N/A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 t="e">
        <v>#N/A</v>
      </c>
      <c r="I343" s="460" t="e">
        <v>#N/A</v>
      </c>
      <c r="J343" s="460" t="e">
        <v>#N/A</v>
      </c>
      <c r="K343" s="460" t="e">
        <v>#N/A</v>
      </c>
      <c r="L343" s="459" t="e">
        <v>#N/A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Simple tor górny 2 m oliwka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Gemini tor górny 1,7m złoty</v>
      </c>
      <c r="C345" s="185">
        <f t="shared" si="11"/>
        <v>66.766980000000004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6810.6939700000003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Gemini II tor dolny 3m srebrny</v>
      </c>
      <c r="C346" s="185">
        <f t="shared" si="11"/>
        <v>52.749690000000001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5498.6339500000004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 02021 Maxim tor 1,8 m srebrny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Doubler II tor dolny 1,7m jasny brąz</v>
      </c>
      <c r="C348" s="185">
        <f t="shared" si="11"/>
        <v>62.192169999999997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6960.9298699999999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maskownica Galaxy 3m</v>
      </c>
      <c r="C349" s="185">
        <f t="shared" si="11"/>
        <v>59.217480000000002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6549.4996000000001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Herkules 2 tor górny 1,2 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Fox II rączka 2,7 m, srebrna</v>
      </c>
      <c r="C351" s="185">
        <f t="shared" si="11"/>
        <v>61.863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6460.1435300000003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Blue tor górny 2m srebrny</v>
      </c>
      <c r="C352" s="185">
        <f t="shared" si="11"/>
        <v>53.662149999999997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5900.2447899999997</v>
      </c>
      <c r="L352" s="459" t="s">
        <v>538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Simple tor dolny 4 m oliwka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Blue-V tor dolny 4m srebrny</v>
      </c>
      <c r="C354" s="185">
        <f t="shared" si="11"/>
        <v>65.728660000000005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6307.1582399999998</v>
      </c>
      <c r="L354" s="459" t="s">
        <v>538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horní vedení 1,7m oliva</v>
      </c>
      <c r="C355" s="185">
        <f t="shared" si="11"/>
        <v>66.766980000000004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6810.6939700000003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listwa łącząca H10 Decor 3m jasny brąz</v>
      </c>
      <c r="C356" s="185">
        <f t="shared" si="11"/>
        <v>57.7179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6460.1435300000003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kątownik 36x36mm 3 m srebrny</v>
      </c>
      <c r="C357" s="185">
        <f t="shared" si="11"/>
        <v>52.53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5478.6024299999999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zamek do drzwi przesuwnych 18 mm (identyczny klucz)</v>
      </c>
      <c r="C358" s="185" t="e">
        <f t="shared" si="11"/>
        <v>#N/A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 t="e">
        <v>#N/A</v>
      </c>
      <c r="I358" s="460" t="e">
        <v>#N/A</v>
      </c>
      <c r="J358" s="460" t="e">
        <v>#N/A</v>
      </c>
      <c r="K358" s="460" t="e">
        <v>#N/A</v>
      </c>
      <c r="L358" s="459" t="e">
        <v>#N/A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Maxim listwa łącząca H25 1,8m jasny brąz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profil "U" do płyty laminowanej 36mm 3m jasny brąz</v>
      </c>
      <c r="C360" s="185">
        <f t="shared" si="11"/>
        <v>58.075839999999999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6500.2066100000002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Gemini II tor dolny 2,35m biały połysk</v>
      </c>
      <c r="C363" s="185" t="e">
        <f t="shared" si="11"/>
        <v>#N/A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 t="e">
        <v>#N/A</v>
      </c>
      <c r="I363" s="460" t="e">
        <v>#N/A</v>
      </c>
      <c r="J363" s="460" t="e">
        <v>#N/A</v>
      </c>
      <c r="K363" s="460" t="e">
        <v>#N/A</v>
      </c>
      <c r="L363" s="459" t="e">
        <v>#N/A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horní vedení 1,7m stříbrná</v>
      </c>
      <c r="C364" s="185">
        <f t="shared" si="11"/>
        <v>51.049550000000004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5646.1202800000001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rączka 2,7m srebrna</v>
      </c>
      <c r="C365" s="185">
        <f t="shared" si="11"/>
        <v>64.535399999999996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6370.0018499999996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Oaza II rączka 2,7m srebrny</v>
      </c>
      <c r="C366" s="185">
        <f t="shared" si="11"/>
        <v>64.823660000000004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5548.7125900000001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Oaza II rączka 2,7 m złota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maskownica dolna Simple/Blue 2,5 m (do płyty laminowanej 10 mm) srebrna</v>
      </c>
      <c r="C368" s="185">
        <f t="shared" si="11"/>
        <v>57.107480000000002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6408.8865999999998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Universal 16 rączka 2,7 m srebrna</v>
      </c>
      <c r="C369" s="185" t="e">
        <f t="shared" si="11"/>
        <v>#N/A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 t="e">
        <v>#N/A</v>
      </c>
      <c r="I369" s="460" t="e">
        <v>#N/A</v>
      </c>
      <c r="J369" s="460" t="e">
        <v>#N/A</v>
      </c>
      <c r="K369" s="460" t="e">
        <v>#N/A</v>
      </c>
      <c r="L369" s="459" t="e">
        <v>#N/A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Elegant II tor dolny 3m złoty</v>
      </c>
      <c r="C370" s="185">
        <f t="shared" si="11"/>
        <v>0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0</v>
      </c>
      <c r="I370" s="460">
        <v>0</v>
      </c>
      <c r="J370" s="460">
        <v>0</v>
      </c>
      <c r="K370" s="460">
        <v>0</v>
      </c>
      <c r="L370" s="459" t="s">
        <v>540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Simple tor górny 2,5 m srebrny</v>
      </c>
      <c r="C372" s="185">
        <f t="shared" si="11"/>
        <v>65.697199999999995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6998.9109799999997</v>
      </c>
      <c r="L372" s="459" t="s">
        <v>540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Fox II rączka 2,7 m, oliwka</v>
      </c>
      <c r="C373" s="185">
        <f t="shared" si="11"/>
        <v>71.498620000000003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8002.5655800000004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Fox II rączka 2,7m złoty</v>
      </c>
      <c r="C374" s="185">
        <f t="shared" si="11"/>
        <v>71.498620000000003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8002.5655800000004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Elegant II tor dolny 3m jasny brąz</v>
      </c>
      <c r="C375" s="185">
        <f t="shared" si="11"/>
        <v>68.931600000000003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7061.0871100000004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02806 Maxim II tor dolny 2,5m srebrny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Single tor górny 1,7m jasny brąz</v>
      </c>
      <c r="C377" s="185">
        <f t="shared" si="11"/>
        <v>62.236049999999999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6883.3569299999999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Blue tor górny 2 m, jasny brąz</v>
      </c>
      <c r="C378" s="185">
        <f t="shared" si="11"/>
        <v>63.289290000000001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7375.3059899999998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Doubler II maskownica 6m srebrna</v>
      </c>
      <c r="C379" s="185">
        <f t="shared" si="11"/>
        <v>0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0</v>
      </c>
      <c r="K379" s="460">
        <v>6370.0018499999996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Victoria II rączka 18mm 2,7m srebrna</v>
      </c>
      <c r="C380" s="185">
        <f t="shared" si="11"/>
        <v>58.884599999999999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6349.9706999999999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Blue-V tor dolny 4m jasny brąz</v>
      </c>
      <c r="C381" s="185">
        <f t="shared" si="11"/>
        <v>73.594700000000003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7883.9477800000004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Faworyt II rączka 2,7 m, biała matowa</v>
      </c>
      <c r="C382" s="185">
        <f t="shared" si="11"/>
        <v>60.088200000000001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6299.8920699999999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Minicomfort II rączka 2,7m jasny brąz</v>
      </c>
      <c r="C383" s="185" t="e">
        <f t="shared" si="11"/>
        <v>#N/A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 t="e">
        <v>#N/A</v>
      </c>
      <c r="I383" s="460" t="e">
        <v>#N/A</v>
      </c>
      <c r="J383" s="460" t="e">
        <v>#N/A</v>
      </c>
      <c r="K383" s="460" t="e">
        <v>#N/A</v>
      </c>
      <c r="L383" s="459" t="e">
        <v>#N/A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Julia II rączka 2,7m srebrna</v>
      </c>
      <c r="C384" s="185">
        <f t="shared" si="11"/>
        <v>65.637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6710.5366999999997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Romeo II rączka 2,7m srebrna</v>
      </c>
      <c r="C385" s="185">
        <f t="shared" si="11"/>
        <v>65.637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6710.5366999999997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Oaza II rączka 2,7m jasny brąz</v>
      </c>
      <c r="C386" s="185">
        <f t="shared" si="11"/>
        <v>72.050979999999996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6490.1906399999998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kątownik 36x36mm 3m jasny brąz</v>
      </c>
      <c r="C387" s="185" t="e">
        <f t="shared" si="11"/>
        <v>#N/A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 t="e">
        <v>#N/A</v>
      </c>
      <c r="I387" s="460" t="e">
        <v>#N/A</v>
      </c>
      <c r="J387" s="460" t="e">
        <v>#N/A</v>
      </c>
      <c r="K387" s="460" t="e">
        <v>#N/A</v>
      </c>
      <c r="L387" s="459" t="e">
        <v>#N/A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zamek do drzwi przesuwnych 10/18mm</v>
      </c>
      <c r="C388" s="185">
        <f t="shared" ref="C388:C451" si="13">IF($A$2=1,H388,IF($A$2=2,I388,IF($A$2=3,J388,IF($A$2=4,K388,IF($A$2&gt;4,O388,"zadat jazyk")))))</f>
        <v>66.840599999999995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6243.0970299999999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Maxim II maskownica 6m srebrny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Universal 18 rączka 2,7 m, srebrna</v>
      </c>
      <c r="C390" s="185">
        <f t="shared" si="13"/>
        <v>57.807389999999998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6470.1591200000003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Blue-C tor dolny 6m srebrny</v>
      </c>
      <c r="C391" s="185" t="e">
        <f t="shared" si="13"/>
        <v>#N/A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 t="e">
        <v>#N/A</v>
      </c>
      <c r="I391" s="460" t="e">
        <v>#N/A</v>
      </c>
      <c r="J391" s="460" t="e">
        <v>#N/A</v>
      </c>
      <c r="K391" s="460" t="e">
        <v>#N/A</v>
      </c>
      <c r="L391" s="459" t="e">
        <v>#N/A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horní vedení 2,35m stříbrná</v>
      </c>
      <c r="C392" s="185">
        <f t="shared" si="13"/>
        <v>72.115889999999993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7521.8103799999999</v>
      </c>
      <c r="L392" s="459" t="s">
        <v>538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Victoria II rączka 18mm 2,7m złoty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Gemini II tor dolny 3m jasny brąz</v>
      </c>
      <c r="C394" s="185">
        <f t="shared" si="13"/>
        <v>64.966210000000004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7271.4172099999996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Faworyt II rączka 2,7m biały połysk</v>
      </c>
      <c r="C395" s="185">
        <f t="shared" si="13"/>
        <v>60.088200000000001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6299.8920699999999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Julia II rączka 2,7m złoty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Romeo II rączka 2,7m złoty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Ursus tor górny 1,8m surowy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Blue tor górny 2,5m srebrny</v>
      </c>
      <c r="C399" s="185">
        <f t="shared" si="13"/>
        <v>67.065889999999996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7375.3059899999998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Hide M tor dolny 6m srebrny</v>
      </c>
      <c r="C401" s="185">
        <f t="shared" si="13"/>
        <v>0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0</v>
      </c>
      <c r="K401" s="460">
        <v>6618.2350800000004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Maxim II tor dolny 2,5m jasny brąz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Alfa II rączka 18mm 2,7m biały połysk</v>
      </c>
      <c r="C403" s="185">
        <f t="shared" si="13"/>
        <v>66.463200000000001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6329.9391800000003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Line tor dolny 2m aluminium surowe</v>
      </c>
      <c r="C404" s="185" t="e">
        <f t="shared" si="13"/>
        <v>#N/A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 t="e">
        <v>#N/A</v>
      </c>
      <c r="I404" s="460" t="e">
        <v>#N/A</v>
      </c>
      <c r="J404" s="460" t="e">
        <v>#N/A</v>
      </c>
      <c r="K404" s="460" t="e">
        <v>#N/A</v>
      </c>
      <c r="L404" s="459" t="e">
        <v>#N/A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Victoria II rączka 18mm 2,7m jasny brąz</v>
      </c>
      <c r="C405" s="185">
        <f t="shared" si="13"/>
        <v>70.961690000000004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7942.4709800000001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Doubler II maskownica 6m jasny brąz</v>
      </c>
      <c r="C406" s="185">
        <f t="shared" si="13"/>
        <v>0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0</v>
      </c>
      <c r="K406" s="460">
        <v>7752.1724100000001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rączka 2,7m Oliwka</v>
      </c>
      <c r="C407" s="185">
        <f t="shared" si="13"/>
        <v>74.899050000000003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8383.1630999999998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Romeo II rączka 2,7m jasny brąz</v>
      </c>
      <c r="C408" s="185">
        <f t="shared" si="13"/>
        <v>76.688749999999999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8583.4776099999999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maskownica dolna Simple/Blue 2,5 m (do płyty laminowanej 10 mm) oliwka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Universal 18 rączka 2,7 m, jasny brąz</v>
      </c>
      <c r="C410" s="185">
        <f t="shared" si="13"/>
        <v>72.303970000000007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8092.7068799999997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Herkules 2 tor górny 1,5 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Simple tor górny 2,5 m oliwka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Blue-C tor dolny 6m jasny brąz</v>
      </c>
      <c r="C413" s="185" t="e">
        <f t="shared" si="13"/>
        <v>#N/A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 t="e">
        <v>#N/A</v>
      </c>
      <c r="I413" s="460" t="e">
        <v>#N/A</v>
      </c>
      <c r="J413" s="460" t="e">
        <v>#N/A</v>
      </c>
      <c r="K413" s="460" t="e">
        <v>#N/A</v>
      </c>
      <c r="L413" s="459" t="e">
        <v>#N/A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Gemini-2 rączka 2,7m złoty</v>
      </c>
      <c r="C414" s="185" t="e">
        <f t="shared" si="13"/>
        <v>#N/A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 t="e">
        <v>#N/A</v>
      </c>
      <c r="I414" s="460" t="e">
        <v>#N/A</v>
      </c>
      <c r="J414" s="460" t="e">
        <v>#N/A</v>
      </c>
      <c r="K414" s="460" t="e">
        <v>#N/A</v>
      </c>
      <c r="L414" s="459" t="e">
        <v>#N/A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System 10 II rączka 2,7m złoty</v>
      </c>
      <c r="C415" s="185">
        <f t="shared" si="13"/>
        <v>82.701599999999999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9054.2168399999991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listwa łącząca H10 3 m oliwka ciemna szczotkowana</v>
      </c>
      <c r="C416" s="185" t="e">
        <f t="shared" si="13"/>
        <v>#N/A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 t="e">
        <v>#N/A</v>
      </c>
      <c r="I416" s="460" t="e">
        <v>#N/A</v>
      </c>
      <c r="J416" s="460" t="e">
        <v>#N/A</v>
      </c>
      <c r="K416" s="460" t="e">
        <v>#N/A</v>
      </c>
      <c r="L416" s="459" t="e">
        <v>#N/A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listwa pozioma dolna 2,35m 10mm złoty</v>
      </c>
      <c r="C417" s="185">
        <f t="shared" si="13"/>
        <v>85.010859999999994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9514.9400999999998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Prince 01 rączka 2,7m srebrny</v>
      </c>
      <c r="C418" s="185" t="e">
        <f t="shared" si="13"/>
        <v>#N/A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 t="e">
        <v>#N/A</v>
      </c>
      <c r="I418" s="460" t="e">
        <v>#N/A</v>
      </c>
      <c r="J418" s="460" t="e">
        <v>#N/A</v>
      </c>
      <c r="K418" s="460" t="e">
        <v>#N/A</v>
      </c>
      <c r="L418" s="459" t="e">
        <v>#N/A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tor dolny 2,35m srebrny</v>
      </c>
      <c r="C419" s="185">
        <f t="shared" si="13"/>
        <v>73.745999999999995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7712.1093300000002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Blue tor górny 2,5m jasny brąz</v>
      </c>
      <c r="C420" s="185">
        <f t="shared" si="13"/>
        <v>79.111639999999994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9216.5891300000003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Simple tor górny 3 m srebrny</v>
      </c>
      <c r="C421" s="185">
        <f t="shared" si="13"/>
        <v>78.849220000000003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8392.5895899999996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SEVROLL01884 Maxim listwa łącząca H25 2,5 m, srebrna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Gemini II tor dolny 4,05m srebrny</v>
      </c>
      <c r="C423" s="185">
        <f t="shared" si="13"/>
        <v>71.187690000000003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7421.6531100000002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listwa łącząca H10 3m biały połysk</v>
      </c>
      <c r="C424" s="185">
        <f t="shared" si="13"/>
        <v>67.289400000000001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6089.5615900000003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listwa pozioma dolna 1,7 m 10mm oliwka ciemna szczotkowana</v>
      </c>
      <c r="C425" s="185">
        <f t="shared" si="13"/>
        <v>76.599260000000001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8573.4616399999995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Exclusive tor górny 1,8m jasny brąz</v>
      </c>
      <c r="C426" s="185">
        <f t="shared" si="13"/>
        <v>80.880240000000001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8945.4182500000006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Gemini-2 rączka 2,7m jasny brąz</v>
      </c>
      <c r="C427" s="185">
        <f t="shared" si="13"/>
        <v>86.852999999999994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9094.2795100000003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System 10 II rączka 2,7 m, oliwka</v>
      </c>
      <c r="C428" s="185">
        <f t="shared" si="13"/>
        <v>82.701599999999999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9054.2168399999991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Gemini II tor dolny 3m biały połysk</v>
      </c>
      <c r="C429" s="185">
        <f t="shared" si="13"/>
        <v>73.929599999999994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7151.2288200000003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listwa łącząca H10 3m czarna szczotkowana</v>
      </c>
      <c r="C430" s="185">
        <f t="shared" si="13"/>
        <v>74.362139999999997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8323.0684999999994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Listwa łącząca H10 3m jasny brąz szczotkowany</v>
      </c>
      <c r="C431" s="185">
        <f t="shared" si="13"/>
        <v>74.362139999999997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8323.0684999999994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Maxim tor górny 1,8 m srebrny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Idea zestaw okuć dla drzwi wewnętrznych 50kg</v>
      </c>
      <c r="C433" s="185" t="e">
        <f t="shared" si="13"/>
        <v>#N/A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 t="e">
        <v>#N/A</v>
      </c>
      <c r="I433" s="460" t="e">
        <v>#N/A</v>
      </c>
      <c r="J433" s="460" t="e">
        <v>#N/A</v>
      </c>
      <c r="K433" s="460" t="e">
        <v>#N/A</v>
      </c>
      <c r="L433" s="459" t="e">
        <v>#N/A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listwa łącząca Simple/Blue H28 3m (do płyty laminowanej 18mm) srebrny</v>
      </c>
      <c r="C434" s="185">
        <f t="shared" si="13"/>
        <v>70.338160000000002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7751.701</v>
      </c>
      <c r="L434" s="459" t="s">
        <v>538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Doubler II tor dolny 2,35m jasny brąz</v>
      </c>
      <c r="C435" s="185">
        <f t="shared" si="13"/>
        <v>86.174180000000007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9645.1444499999998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Simple tor dolny 6 m srebrny</v>
      </c>
      <c r="C436" s="185">
        <f t="shared" si="13"/>
        <v>0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0</v>
      </c>
      <c r="K436" s="460">
        <v>8830.0214500000002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horní vedení 2,35m oliva</v>
      </c>
      <c r="C438" s="185">
        <f t="shared" si="13"/>
        <v>84.116020000000006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9414.7828399999999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horní vedení 2,35m zlatá</v>
      </c>
      <c r="C439" s="185">
        <f t="shared" si="13"/>
        <v>84.116020000000006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9414.7828399999999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Victoria II 2,7 m oliwka ciemna szczotkowana</v>
      </c>
      <c r="C440" s="185">
        <f t="shared" si="13"/>
        <v>82.505279999999999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9234.4998200000009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maskownica dolna 1,8 m, 18 mm, srebrna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04097 Idea tor górny/dolny 3m, srebrny</v>
      </c>
      <c r="C442" s="185" t="e">
        <f t="shared" si="13"/>
        <v>#N/A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 t="e">
        <v>#N/A</v>
      </c>
      <c r="I442" s="460" t="e">
        <v>#N/A</v>
      </c>
      <c r="J442" s="460" t="e">
        <v>#N/A</v>
      </c>
      <c r="K442" s="460" t="e">
        <v>#N/A</v>
      </c>
      <c r="L442" s="459" t="e">
        <v>#N/A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Maxim listwa łącząca H25 2,5m jasny brąz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02022 Maxim tor 2,5 m, srebrny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Simple tor górny 3 m oliwka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Comfort 16 II rączka 2,7m srebrny</v>
      </c>
      <c r="C447" s="185" t="e">
        <f t="shared" si="13"/>
        <v>#N/A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 t="e">
        <v>#N/A</v>
      </c>
      <c r="I447" s="460" t="e">
        <v>#N/A</v>
      </c>
      <c r="J447" s="460" t="e">
        <v>#N/A</v>
      </c>
      <c r="K447" s="460" t="e">
        <v>#N/A</v>
      </c>
      <c r="L447" s="459" t="e">
        <v>#N/A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Elegant II tor dolny 4,05m złoty</v>
      </c>
      <c r="C448" s="185" t="e">
        <f t="shared" si="13"/>
        <v>#N/A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 t="e">
        <v>#N/A</v>
      </c>
      <c r="I448" s="460" t="e">
        <v>#N/A</v>
      </c>
      <c r="J448" s="460" t="e">
        <v>#N/A</v>
      </c>
      <c r="K448" s="460" t="e">
        <v>#N/A</v>
      </c>
      <c r="L448" s="459" t="e">
        <v>#N/A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horní vedení 2,35m stříbrná</v>
      </c>
      <c r="C450" s="185">
        <f t="shared" si="13"/>
        <v>70.492769999999993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7796.5558300000002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tłumienie Mini SV25 (14-25kg)</v>
      </c>
      <c r="C452" s="185">
        <f t="shared" ref="C452:C515" si="15">IF($A$2=1,H452,IF($A$2=2,I452,IF($A$2=3,J452,IF($A$2=4,K452,IF($A$2&gt;4,O452,"zadat jazyk")))))</f>
        <v>96.889799999999994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9041.7265599999992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tłumienie Mini SV40 (25 - 40kg)</v>
      </c>
      <c r="C453" s="185">
        <f t="shared" si="15"/>
        <v>96.889799999999994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9041.7265599999992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tłumienie Mini SV60 (40 - 60kg)</v>
      </c>
      <c r="C454" s="185">
        <f t="shared" si="15"/>
        <v>96.889799999999994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9041.7265599999992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01026 Gemini horní vedení 3m stříbrná</v>
      </c>
      <c r="C455" s="185">
        <f t="shared" si="15"/>
        <v>92.079909999999998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9605.0817900000002</v>
      </c>
      <c r="L455" s="459" t="s">
        <v>538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Herkules 2 tor górny 1,8 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Elegant II tor dolny 4,05m jasny brąz</v>
      </c>
      <c r="C457" s="185">
        <f t="shared" si="15"/>
        <v>93.075000000000003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9534.97163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Blue tor górny 3 m, srebrny</v>
      </c>
      <c r="C458" s="185">
        <f t="shared" si="15"/>
        <v>80.48536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8850.3671900000008</v>
      </c>
      <c r="L458" s="459" t="s">
        <v>538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Victoria II 2,7m czarny szczotkowany</v>
      </c>
      <c r="C459" s="185">
        <f t="shared" si="15"/>
        <v>82.505279999999999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9234.4998200000009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Victoria II rączka 2,7m jasny brąz szczotkowany</v>
      </c>
      <c r="C460" s="185">
        <f t="shared" si="15"/>
        <v>82.505279999999999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9234.4998200000009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Porto rączka 2,7m srebrny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Simple tor dolny 6 m oliwka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Single tor górny 2,35m jasny brąz</v>
      </c>
      <c r="C464" s="185">
        <f t="shared" si="15"/>
        <v>85.940809999999999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9505.12068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rączka 2,7m srebrna</v>
      </c>
      <c r="C465" s="185">
        <f t="shared" si="15"/>
        <v>92.779200000000003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9144.3581400000003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spojovací lišta H30 3m stříbrná</v>
      </c>
      <c r="C466" s="185">
        <f t="shared" si="15"/>
        <v>78.601200000000006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8663.6033499999994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Everest wózek do skrzydła skośnego - 2 szt.</v>
      </c>
      <c r="C467" s="185">
        <f t="shared" si="15"/>
        <v>67.640100000000004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7955.0789299999997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Blue-V tor dolny 6m srebrny</v>
      </c>
      <c r="C468" s="185">
        <f t="shared" si="15"/>
        <v>0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0</v>
      </c>
      <c r="K468" s="460">
        <v>9460.7373399999997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Karat rączka 2,7m srebrny</v>
      </c>
      <c r="C470" s="185">
        <f t="shared" si="15"/>
        <v>78.988799999999998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8493.3359199999995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02808 Maxim II tor dolny 3,5m srebrny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Lux III rączka 2,7 m srebrna</v>
      </c>
      <c r="C472" s="185">
        <f t="shared" si="15"/>
        <v>102.72564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9524.9556599999996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Comfort tor dolny 3m jasny brąz</v>
      </c>
      <c r="C473" s="185" t="e">
        <f t="shared" si="15"/>
        <v>#N/A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 t="e">
        <v>#N/A</v>
      </c>
      <c r="I473" s="460" t="e">
        <v>#N/A</v>
      </c>
      <c r="J473" s="460" t="e">
        <v>#N/A</v>
      </c>
      <c r="K473" s="460" t="e">
        <v>#N/A</v>
      </c>
      <c r="L473" s="459" t="e">
        <v>#N/A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Gemini II tor dolny 4,05m jasny brąz</v>
      </c>
      <c r="C474" s="185">
        <f t="shared" si="15"/>
        <v>87.695409999999995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9815.4118799999997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tłumienie Simple/Blue 10/18 25kg L+P</v>
      </c>
      <c r="C475" s="185">
        <f t="shared" si="15"/>
        <v>109.51739999999999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9728.5697999999993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tłumienie Simple/Blue 10/18, 25 - 40kg, L+P</v>
      </c>
      <c r="C476" s="185">
        <f t="shared" si="15"/>
        <v>109.51739999999999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9728.5697999999993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Maxim tor 2,5 m, jsny brąz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Fox II rączka 2,7 m koniak szczotkowany</v>
      </c>
      <c r="C478" s="185">
        <f t="shared" si="15"/>
        <v>90.198599999999999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9685.2075299999997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Optima tor dolny 6m surowy</v>
      </c>
      <c r="C479" s="185" t="e">
        <f t="shared" si="15"/>
        <v>#N/A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 t="e">
        <v>#N/A</v>
      </c>
      <c r="I479" s="460" t="e">
        <v>#N/A</v>
      </c>
      <c r="J479" s="460" t="e">
        <v>#N/A</v>
      </c>
      <c r="K479" s="460" t="e">
        <v>#N/A</v>
      </c>
      <c r="L479" s="459" t="e">
        <v>#N/A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Pax rączka 2,7m srebrny</v>
      </c>
      <c r="C480" s="185">
        <f t="shared" si="15"/>
        <v>78.988799999999998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7962.5024999999996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 Prosper II rączka 2,7m srebrny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Rex rączka 2,7m srebrny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Blue-V tor dolny 6m jasny brąz</v>
      </c>
      <c r="C483" s="185">
        <f t="shared" si="15"/>
        <v>0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0</v>
      </c>
      <c r="K483" s="460">
        <v>11831.00801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Comfort 16 II rączka 2,7m jasny brąz</v>
      </c>
      <c r="C484" s="185" t="e">
        <f t="shared" si="15"/>
        <v>#N/A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 t="e">
        <v>#N/A</v>
      </c>
      <c r="I484" s="460" t="e">
        <v>#N/A</v>
      </c>
      <c r="J484" s="460" t="e">
        <v>#N/A</v>
      </c>
      <c r="K484" s="460" t="e">
        <v>#N/A</v>
      </c>
      <c r="L484" s="459" t="e">
        <v>#N/A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Comfort 18 II rączka 2,7m jasny brąz</v>
      </c>
      <c r="C485" s="185">
        <f t="shared" si="15"/>
        <v>104.69759999999999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11718.3999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Rączka Karat 2,7 m oliwka</v>
      </c>
      <c r="C486" s="185">
        <f t="shared" si="15"/>
        <v>94.854230000000001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10616.67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Herkules 2 tor górny 2 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Hide N tor dolny 6 m, srebrny</v>
      </c>
      <c r="C488" s="185">
        <f t="shared" si="15"/>
        <v>0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0</v>
      </c>
      <c r="K488" s="460">
        <v>9603.3140800000001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Blue tor górny 3 m, jasny brąz</v>
      </c>
      <c r="C489" s="185">
        <f t="shared" si="15"/>
        <v>94.933920000000001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11068.045319999999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Unicomfort II rączka 2,7m srebrna</v>
      </c>
      <c r="C490" s="185">
        <f t="shared" si="15"/>
        <v>90.916880000000006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10175.97788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Optima tor górny 2m srebrny</v>
      </c>
      <c r="C491" s="185">
        <f t="shared" si="15"/>
        <v>85.741200000000006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9454.8458900000005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tłumienie 10/18mm 14-25kg L+P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0</v>
      </c>
      <c r="I492" s="460">
        <v>0</v>
      </c>
      <c r="J492" s="460">
        <v>0</v>
      </c>
      <c r="K492" s="460">
        <v>0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tłumienie 10/18mm 25-50kg L+P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0</v>
      </c>
      <c r="I493" s="460">
        <v>0</v>
      </c>
      <c r="J493" s="460">
        <v>0</v>
      </c>
      <c r="K493" s="460">
        <v>0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tor dolny 3m srebrny</v>
      </c>
      <c r="C494" s="185">
        <f t="shared" si="15"/>
        <v>94.115399999999994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9845.4589899999992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spojovací lišta H30 3m oliva</v>
      </c>
      <c r="C495" s="185">
        <f t="shared" si="15"/>
        <v>94.406800000000004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10566.59137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Pax rączka 3m srebrny</v>
      </c>
      <c r="C496" s="185">
        <f t="shared" si="15"/>
        <v>87.771000000000001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8853.9022999999997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Lux III rączka 2,7 m jasny brąz</v>
      </c>
      <c r="C497" s="185" t="e">
        <f t="shared" si="15"/>
        <v>#N/A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 t="e">
        <v>#N/A</v>
      </c>
      <c r="I497" s="460" t="e">
        <v>#N/A</v>
      </c>
      <c r="J497" s="460" t="e">
        <v>#N/A</v>
      </c>
      <c r="K497" s="460" t="e">
        <v>#N/A</v>
      </c>
      <c r="L497" s="459" t="e">
        <v>#N/A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Unicomfort II rączka 2,7m jasny brąz</v>
      </c>
      <c r="C498" s="185">
        <f t="shared" si="15"/>
        <v>105.2345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11778.494119999999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Simple tor górny 4 m srebrny</v>
      </c>
      <c r="C499" s="185">
        <f t="shared" si="15"/>
        <v>105.13754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11190.119420000001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Pax listwa pozioma górna 3m srebrny</v>
      </c>
      <c r="C500" s="185">
        <f t="shared" si="15"/>
        <v>86.302199999999999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8693.6504600000007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Master rączka 2,7m srebrna</v>
      </c>
      <c r="C501" s="185">
        <f t="shared" si="15"/>
        <v>90.78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9705.2390599999999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Doubler II tor dolny 3m jasny brąz</v>
      </c>
      <c r="C502" s="185">
        <f t="shared" si="15"/>
        <v>109.97721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12309.32792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Porto rączka 2,7m jasny brąz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Prosper II rączka 2,7 m oliwka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Rex rączka 2,7m jasny brąz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Maxim II tor dolny 3,5m jasny brąz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horní vedení 3m oliva</v>
      </c>
      <c r="C507" s="185">
        <f t="shared" si="15"/>
        <v>107.38215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12018.8717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01033 Gemini horní vedení 3m zlatá</v>
      </c>
      <c r="C508" s="185">
        <f t="shared" si="15"/>
        <v>107.38215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12018.8717</v>
      </c>
      <c r="L508" s="459" t="s">
        <v>539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Everest tor 3 m, srebrny</v>
      </c>
      <c r="C509" s="185">
        <f t="shared" si="15"/>
        <v>89.321399999999997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9855.4749599999996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Hide N tor dolny 6 m, jasny brąz</v>
      </c>
      <c r="C510" s="185">
        <f t="shared" si="15"/>
        <v>0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0</v>
      </c>
      <c r="K510" s="460">
        <v>11252.96305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Everest tor 3m jasny brąz</v>
      </c>
      <c r="C511" s="185" t="e">
        <f t="shared" si="15"/>
        <v>#N/A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 t="e">
        <v>#N/A</v>
      </c>
      <c r="I511" s="460" t="e">
        <v>#N/A</v>
      </c>
      <c r="J511" s="460" t="e">
        <v>#N/A</v>
      </c>
      <c r="K511" s="460" t="e">
        <v>#N/A</v>
      </c>
      <c r="L511" s="459" t="e">
        <v>#N/A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Gemini II tor dolny 4,05m biały połysk</v>
      </c>
      <c r="C512" s="185" t="e">
        <f t="shared" si="15"/>
        <v>#N/A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 t="e">
        <v>#N/A</v>
      </c>
      <c r="I512" s="460" t="e">
        <v>#N/A</v>
      </c>
      <c r="J512" s="460" t="e">
        <v>#N/A</v>
      </c>
      <c r="K512" s="460" t="e">
        <v>#N/A</v>
      </c>
      <c r="L512" s="459" t="e">
        <v>#N/A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Star rączka 2,7 m srebrna</v>
      </c>
      <c r="C513" s="185" t="e">
        <f t="shared" si="15"/>
        <v>#N/A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 t="e">
        <v>#N/A</v>
      </c>
      <c r="I513" s="460" t="e">
        <v>#N/A</v>
      </c>
      <c r="J513" s="460" t="e">
        <v>#N/A</v>
      </c>
      <c r="K513" s="460" t="e">
        <v>#N/A</v>
      </c>
      <c r="L513" s="459" t="e">
        <v>#N/A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horní vedení 3m stříbrná</v>
      </c>
      <c r="C514" s="185">
        <f t="shared" si="15"/>
        <v>90.113560000000007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9966.6297300000006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Symetric zestaw okuć do 2 skrzydeł</v>
      </c>
      <c r="C515" s="185" t="e">
        <f t="shared" si="15"/>
        <v>#N/A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 t="e">
        <v>#N/A</v>
      </c>
      <c r="I515" s="460" t="e">
        <v>#N/A</v>
      </c>
      <c r="J515" s="460" t="e">
        <v>#N/A</v>
      </c>
      <c r="K515" s="460" t="e">
        <v>#N/A</v>
      </c>
      <c r="L515" s="459" t="e">
        <v>#N/A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Herkules zestaw okuć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Złączki do 2 skrz.SYMETRIC-mechanizm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listwa łącząca H30 3m biały połysk</v>
      </c>
      <c r="C518" s="185" t="e">
        <f t="shared" si="17"/>
        <v>#N/A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 t="e">
        <v>#N/A</v>
      </c>
      <c r="I518" s="460" t="e">
        <v>#N/A</v>
      </c>
      <c r="J518" s="460" t="e">
        <v>#N/A</v>
      </c>
      <c r="K518" s="460" t="e">
        <v>#N/A</v>
      </c>
      <c r="L518" s="459" t="e">
        <v>#N/A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maskownica Galaxy 6m</v>
      </c>
      <c r="C519" s="185">
        <f t="shared" si="17"/>
        <v>0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0</v>
      </c>
      <c r="K519" s="460">
        <v>13138.27635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02802 Maxim II tor dolny 4,3m srebrny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Pax rączka 2,7 m, biały połysk</v>
      </c>
      <c r="C522" s="185">
        <f t="shared" si="17"/>
        <v>102.67319999999999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10356.261270000001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Master rączka 2,7m jasny brąz</v>
      </c>
      <c r="C523" s="185">
        <f t="shared" si="17"/>
        <v>108.36648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12129.044529999999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Simple tor górny 4 m oliwka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Comfort tor górny 1,7m srebrny</v>
      </c>
      <c r="C525" s="185">
        <f t="shared" si="17"/>
        <v>108.3036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11578.17958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Gemini II tor dolny 6m srebrny</v>
      </c>
      <c r="C526" s="185">
        <f t="shared" si="17"/>
        <v>0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0</v>
      </c>
      <c r="K526" s="460">
        <v>11007.28349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Single tor górny 3m jasny brąz</v>
      </c>
      <c r="C527" s="185">
        <f t="shared" si="17"/>
        <v>109.73432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12136.70363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02024 Maxim tor górny 2,5 m, srebrny</v>
      </c>
      <c r="C529" s="185">
        <f t="shared" si="17"/>
        <v>101.0287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11307.755289999999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Prowadnica alum. HERKULES 2 2,4 m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Ursus tor górny 3m surowy</v>
      </c>
      <c r="C531" s="185" t="e">
        <f t="shared" si="17"/>
        <v>#N/A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 t="e">
        <v>#N/A</v>
      </c>
      <c r="I531" s="460" t="e">
        <v>#N/A</v>
      </c>
      <c r="J531" s="460" t="e">
        <v>#N/A</v>
      </c>
      <c r="K531" s="460" t="e">
        <v>#N/A</v>
      </c>
      <c r="L531" s="459" t="e">
        <v>#N/A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Blue tor górny 4m srebrny</v>
      </c>
      <c r="C532" s="185">
        <f t="shared" si="17"/>
        <v>107.34003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11800.489600000001</v>
      </c>
      <c r="L532" s="459" t="s">
        <v>538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Optima tor górny 2,4m srebrny</v>
      </c>
      <c r="C533" s="185">
        <f t="shared" si="17"/>
        <v>102.816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11337.802379999999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Future II rączka 2,7m jasny brąz</v>
      </c>
      <c r="C534" s="185">
        <f t="shared" si="17"/>
        <v>131.2638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14552.850409999999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horní vedení 4,05m stříbrná</v>
      </c>
      <c r="C535" s="185">
        <f t="shared" si="17"/>
        <v>124.31495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12960.35014</v>
      </c>
      <c r="L535" s="459" t="s">
        <v>538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Exclusive tor górny 3m srebrny</v>
      </c>
      <c r="C536" s="185">
        <f t="shared" si="17"/>
        <v>111.06605999999999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12283.993700000001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Pax listwa montażowa 3m srebrny</v>
      </c>
      <c r="C537" s="185">
        <f t="shared" si="17"/>
        <v>101.1024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11147.503419999999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Comfort tor górny 1,7m jasny brąz</v>
      </c>
      <c r="C538" s="185">
        <f t="shared" si="17"/>
        <v>129.12701999999999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14452.693139999999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Star rączka 2,7 m oliwka</v>
      </c>
      <c r="C539" s="185" t="e">
        <f t="shared" si="17"/>
        <v>#N/A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 t="e">
        <v>#N/A</v>
      </c>
      <c r="I539" s="460" t="e">
        <v>#N/A</v>
      </c>
      <c r="J539" s="460" t="e">
        <v>#N/A</v>
      </c>
      <c r="K539" s="460" t="e">
        <v>#N/A</v>
      </c>
      <c r="L539" s="459" t="e">
        <v>#N/A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02301 Maxim tor 3,5 m, srebrny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02379 Master rączka 3m srebrna</v>
      </c>
      <c r="C541" s="185">
        <f t="shared" si="17"/>
        <v>100.85760000000001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10786.93743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zamek do drzwi przesuwnych, do rączek Karat i Prosper</v>
      </c>
      <c r="C542" s="185">
        <f t="shared" si="17"/>
        <v>134.51759999999999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14382.7009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mocowanie do sufitu ukośnego</v>
      </c>
      <c r="C543" s="185" t="e">
        <f t="shared" si="17"/>
        <v>#N/A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 t="e">
        <v>#N/A</v>
      </c>
      <c r="I543" s="460" t="e">
        <v>#N/A</v>
      </c>
      <c r="J543" s="460" t="e">
        <v>#N/A</v>
      </c>
      <c r="K543" s="460" t="e">
        <v>#N/A</v>
      </c>
      <c r="L543" s="459" t="e">
        <v>#N/A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Optima II zestaw okuć (dwa skrzydła drzwiowe)</v>
      </c>
      <c r="C544" s="185">
        <f t="shared" si="17"/>
        <v>92.830200000000005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10236.072480000001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Pax tor dolny 3m biały połysk</v>
      </c>
      <c r="C545" s="185">
        <f t="shared" si="17"/>
        <v>112.2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11297.73933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02809 Maxim maskownica dolna 2,5 m, 18mm srebrna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Maxim II tor dolny 4,3m jasny brąz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03048 Future II rączka 2,7m srebrna</v>
      </c>
      <c r="C548" s="185">
        <f t="shared" si="17"/>
        <v>119.34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12499.626490000001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Elegant II tor dolny 6m złoty</v>
      </c>
      <c r="C549" s="185">
        <f t="shared" si="17"/>
        <v>0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0</v>
      </c>
      <c r="K549" s="460">
        <v>14122.17425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Pax rączka 3 m, biały połysk</v>
      </c>
      <c r="C550" s="185">
        <f t="shared" si="17"/>
        <v>114.07680000000001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11508.069799999999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Comfort tor dolny 4,05m srebrny</v>
      </c>
      <c r="C551" s="185" t="e">
        <f t="shared" si="17"/>
        <v>#N/A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 t="e">
        <v>#N/A</v>
      </c>
      <c r="I551" s="460" t="e">
        <v>#N/A</v>
      </c>
      <c r="J551" s="460" t="e">
        <v>#N/A</v>
      </c>
      <c r="K551" s="460" t="e">
        <v>#N/A</v>
      </c>
      <c r="L551" s="459" t="e">
        <v>#N/A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Master rączka 3 m jasny brąz</v>
      </c>
      <c r="C552" s="185">
        <f t="shared" si="17"/>
        <v>120.44696999999999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13481.167589999999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Herkules zestaw okuć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Doubler II tor dolny 4,05m srebrny</v>
      </c>
      <c r="C554" s="185">
        <f t="shared" si="17"/>
        <v>127.0206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13280.853059999999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Maxim tor górny 2,5m jasny brąz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Maxim, zestaw okuć dla 2 drzwi, 1,8 m, srebrny</v>
      </c>
      <c r="C556" s="185">
        <f t="shared" si="17"/>
        <v>107.06509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maskownica Herkules Glass 2m srebrny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Blue tor górny 4 m, jasny brąz</v>
      </c>
      <c r="C558" s="185">
        <f t="shared" si="17"/>
        <v>126.57856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14750.61198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Elegant II tor dolny 6m, jasny brąz</v>
      </c>
      <c r="C559" s="185">
        <f t="shared" si="17"/>
        <v>0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0</v>
      </c>
      <c r="K559" s="460">
        <v>14122.17425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Exclusive tor górny 3m jasny brąz</v>
      </c>
      <c r="C560" s="185">
        <f t="shared" si="17"/>
        <v>134.77080000000001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14905.75748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Top tor górny pojedyńczy 3m srebrny</v>
      </c>
      <c r="C561" s="185">
        <f t="shared" si="17"/>
        <v>116.4534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12850.1769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Maxim maskownica dolna 2,5 m, jasny brąz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Maxim tor 3,5m, jasny brąz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Gemini II tor dolny 6m jasny brąz</v>
      </c>
      <c r="C566" s="185">
        <f t="shared" si="17"/>
        <v>0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0</v>
      </c>
      <c r="K566" s="460">
        <v>14542.83482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listwa pozioma dolna 3 m 10mm oliwka ciemna szczotkowana</v>
      </c>
      <c r="C567" s="185">
        <f t="shared" si="17"/>
        <v>135.48047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15163.809960000001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Herkules plus tor górny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Doubler II tor dolny 4,05m jasny brąz</v>
      </c>
      <c r="C569" s="185">
        <f t="shared" si="17"/>
        <v>148.36633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16606.074329999999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Doubler II tor dolny 4,05m złoty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Ursus tor górny 3,6 m surowy</v>
      </c>
      <c r="C571" s="185" t="e">
        <f t="shared" si="17"/>
        <v>#N/A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 t="e">
        <v>#N/A</v>
      </c>
      <c r="I571" s="460" t="e">
        <v>#N/A</v>
      </c>
      <c r="J571" s="460" t="e">
        <v>#N/A</v>
      </c>
      <c r="K571" s="460" t="e">
        <v>#N/A</v>
      </c>
      <c r="L571" s="459" t="e">
        <v>#N/A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Pax maskownica dolna 3m 4mm biały połysk</v>
      </c>
      <c r="C572" s="185">
        <f t="shared" si="17"/>
        <v>129.11160000000001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13020.44433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Exclusive tor górny 3,6m srebrny</v>
      </c>
      <c r="C573" s="185" t="e">
        <f t="shared" si="17"/>
        <v>#N/A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 t="e">
        <v>#N/A</v>
      </c>
      <c r="I573" s="460" t="e">
        <v>#N/A</v>
      </c>
      <c r="J573" s="460" t="e">
        <v>#N/A</v>
      </c>
      <c r="K573" s="460" t="e">
        <v>#N/A</v>
      </c>
      <c r="L573" s="459" t="e">
        <v>#N/A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horní vedení 4,05m oliva</v>
      </c>
      <c r="C574" s="185">
        <f t="shared" si="17"/>
        <v>144.9659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16225.4768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Gemini horní vedení 4,05m zlatá</v>
      </c>
      <c r="C575" s="185">
        <f t="shared" si="17"/>
        <v>144.9659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16225.4768</v>
      </c>
      <c r="L575" s="459" t="s">
        <v>540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Herkules 2 tor górny 3 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Prowadnica alumin.HERKULES 2 3 m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Elegant II tor dolny 6m biały połysk</v>
      </c>
      <c r="C578" s="185">
        <f t="shared" si="17"/>
        <v>0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0</v>
      </c>
      <c r="K578" s="460">
        <v>14592.91346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Top tor górny pojedynczy 3 m oliwka</v>
      </c>
      <c r="C579" s="185">
        <f t="shared" si="17"/>
        <v>139.59678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15624.533219999999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Maxim tor 4,3 m, srebrny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zestaw okuć ZPE-10 II</v>
      </c>
      <c r="C582" s="185">
        <f t="shared" si="19"/>
        <v>135.56983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14994.13168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Maxim II tor dolny 6m srebrny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Future II rączka 3,5m jasny brąz</v>
      </c>
      <c r="C585" s="185">
        <f t="shared" si="19"/>
        <v>170.136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18859.61275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Simple tor górny 6 m srebrny</v>
      </c>
      <c r="C586" s="185">
        <f t="shared" si="19"/>
        <v>0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0</v>
      </c>
      <c r="K586" s="460">
        <v>16785.17915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Ursus zestaw okuć ZP-18 do 1 skrzydła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Exclusive zestaw okuć ZPE-18</v>
      </c>
      <c r="C588" s="185">
        <f t="shared" si="19"/>
        <v>134.14932999999999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14837.02203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Comfort tor górny 2,35m srebrny</v>
      </c>
      <c r="C589" s="185">
        <f t="shared" si="19"/>
        <v>149.685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15995.115159999999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Gemini II tor dolny 6m biały połysk</v>
      </c>
      <c r="C591" s="185">
        <f t="shared" si="19"/>
        <v>0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0</v>
      </c>
      <c r="K591" s="460">
        <v>14312.4732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Gemini II tor dolny 6m biały połysk</v>
      </c>
      <c r="C592" s="185">
        <f t="shared" si="19"/>
        <v>0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0</v>
      </c>
      <c r="K592" s="460">
        <v>14312.4732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Maxim tor 4,3 m oliwka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rączka 3,5m srebrna</v>
      </c>
      <c r="C595" s="185">
        <f t="shared" si="19"/>
        <v>154.6728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16185.41373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tor górny 3,5 m, srebrny</v>
      </c>
      <c r="C596" s="185" t="e">
        <f t="shared" si="19"/>
        <v>#N/A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 t="e">
        <v>#N/A</v>
      </c>
      <c r="I596" s="460" t="e">
        <v>#N/A</v>
      </c>
      <c r="J596" s="460" t="e">
        <v>#N/A</v>
      </c>
      <c r="K596" s="460" t="e">
        <v>#N/A</v>
      </c>
      <c r="L596" s="459" t="e">
        <v>#N/A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Comfort tor górny 2,35m jasny brąz</v>
      </c>
      <c r="C597" s="185">
        <f t="shared" si="19"/>
        <v>178.52282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19981.374199999998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Simple tor górny 6 m oliwka</v>
      </c>
      <c r="C598" s="185" t="e">
        <f t="shared" si="19"/>
        <v>#N/A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 t="e">
        <v>#N/A</v>
      </c>
      <c r="I598" s="460" t="e">
        <v>#N/A</v>
      </c>
      <c r="J598" s="460" t="e">
        <v>#N/A</v>
      </c>
      <c r="K598" s="460" t="e">
        <v>#N/A</v>
      </c>
      <c r="L598" s="459" t="e">
        <v>#N/A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02811 Maxim maskownica dolna 3,5 m, 18mm  srebrna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Gemini tor górny 6m, srebrny</v>
      </c>
      <c r="C603" s="185">
        <f t="shared" si="19"/>
        <v>0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0</v>
      </c>
      <c r="K603" s="460">
        <v>19200.14761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Blue tor górny 6 m, srebrny</v>
      </c>
      <c r="C604" s="185" t="e">
        <f t="shared" si="19"/>
        <v>#N/A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 t="e">
        <v>#N/A</v>
      </c>
      <c r="I604" s="460" t="e">
        <v>#N/A</v>
      </c>
      <c r="J604" s="460" t="e">
        <v>#N/A</v>
      </c>
      <c r="K604" s="460" t="e">
        <v>#N/A</v>
      </c>
      <c r="L604" s="459" t="e">
        <v>#N/A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folia ochronna 300mm/50m przeźroczysta</v>
      </c>
      <c r="C605" s="185" t="e">
        <f t="shared" si="19"/>
        <v>#N/A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 t="e">
        <v>#N/A</v>
      </c>
      <c r="I605" s="460" t="e">
        <v>#N/A</v>
      </c>
      <c r="J605" s="460" t="e">
        <v>#N/A</v>
      </c>
      <c r="K605" s="460" t="e">
        <v>#N/A</v>
      </c>
      <c r="L605" s="459" t="e">
        <v>#N/A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04191 Idea tor górny/dolny 6m, srebrny</v>
      </c>
      <c r="C606" s="185" t="e">
        <f t="shared" si="19"/>
        <v>#N/A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 t="e">
        <v>#N/A</v>
      </c>
      <c r="I606" s="460" t="e">
        <v>#N/A</v>
      </c>
      <c r="J606" s="460" t="e">
        <v>#N/A</v>
      </c>
      <c r="K606" s="460" t="e">
        <v>#N/A</v>
      </c>
      <c r="L606" s="459" t="e">
        <v>#N/A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Maxim zestaw okuć dla 3 drzwi 2,5 m, srebrny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Herkules zestaw okuć 60kg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Blue tor górny 6 m, jasny brąz</v>
      </c>
      <c r="C610" s="185">
        <f t="shared" si="19"/>
        <v>0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0</v>
      </c>
      <c r="K610" s="460">
        <v>22125.917969999999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tłumienie Central 10/18mm obustronne 25kg</v>
      </c>
      <c r="C611" s="185">
        <f t="shared" si="19"/>
        <v>206.958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19364.876939999998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tłumienie Central 10/18mm obustronne 25-40kg</v>
      </c>
      <c r="C612" s="185">
        <f t="shared" si="19"/>
        <v>206.958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19364.876939999998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Maxim tor górny 3,5m jasny brąz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Doubler II tor dolny 6m srebrna</v>
      </c>
      <c r="C614" s="185">
        <f t="shared" si="19"/>
        <v>0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0</v>
      </c>
      <c r="K614" s="460">
        <v>19670.886839999999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Optima tłumienie komplet L+P</v>
      </c>
      <c r="C615" s="185">
        <f t="shared" si="19"/>
        <v>198.7062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22091.74668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Herkules 2 tor górny 4 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Maxim tor 6m srebrny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Herkules zestaw okuć 60kg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Maxim maskownica dolna 3,5m 18mm, jasny brąz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tor górny 4,3 m, srebrny</v>
      </c>
      <c r="C621" s="185" t="e">
        <f t="shared" si="19"/>
        <v>#N/A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 t="e">
        <v>#N/A</v>
      </c>
      <c r="I621" s="460" t="e">
        <v>#N/A</v>
      </c>
      <c r="J621" s="460" t="e">
        <v>#N/A</v>
      </c>
      <c r="K621" s="460" t="e">
        <v>#N/A</v>
      </c>
      <c r="L621" s="459" t="e">
        <v>#N/A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Comfort tor górny 3m srebrny</v>
      </c>
      <c r="C622" s="185">
        <f t="shared" si="19"/>
        <v>191.09700000000001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20412.050360000001</v>
      </c>
      <c r="L622" s="459" t="s">
        <v>539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Gemini tor górny 6m złoty</v>
      </c>
      <c r="C624" s="185">
        <f t="shared" si="19"/>
        <v>0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1736.99296</v>
      </c>
      <c r="I624" s="460">
        <v>62.454239999999999</v>
      </c>
      <c r="J624" s="460">
        <v>0</v>
      </c>
      <c r="K624" s="460">
        <v>24037.743399999999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Doubler II tor dolny 6m jasny brąz</v>
      </c>
      <c r="C625" s="185">
        <f t="shared" si="19"/>
        <v>0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0</v>
      </c>
      <c r="K625" s="460">
        <v>24588.608349999999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Herkules zestaw okuć 120kg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Single tor górny 6m srebrny</v>
      </c>
      <c r="C627" s="185">
        <f t="shared" si="19"/>
        <v>0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0</v>
      </c>
      <c r="K627" s="460">
        <v>20311.893090000001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Comfort tor górny 3m jasny brąz</v>
      </c>
      <c r="C628" s="185">
        <f t="shared" si="19"/>
        <v>227.9186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25510.055260000001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Herkules plus tor górny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02801 Maxim maskownica dolna 4,3 m, 18mm  srebrna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Gemini tor górny 6m, jasny brąz</v>
      </c>
      <c r="C631" s="185">
        <f t="shared" si="19"/>
        <v>0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0</v>
      </c>
      <c r="K631" s="460">
        <v>24037.743399999999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tłumienie Top SV60 - 2szt</v>
      </c>
      <c r="C632" s="185">
        <f t="shared" si="19"/>
        <v>170.82550000000001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20102.976739999998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Idea zestaw okuć dla 2 drzwi 50kg</v>
      </c>
      <c r="C633" s="185" t="e">
        <f t="shared" si="19"/>
        <v>#N/A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 t="e">
        <v>#N/A</v>
      </c>
      <c r="I633" s="460" t="e">
        <v>#N/A</v>
      </c>
      <c r="J633" s="460" t="e">
        <v>#N/A</v>
      </c>
      <c r="K633" s="460" t="e">
        <v>#N/A</v>
      </c>
      <c r="L633" s="459" t="e">
        <v>#N/A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Maxim tor górny 4,3m jasny brąz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Herkules tłumienie 40 - 80kg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tłumienie Top SV80 - 2szt</v>
      </c>
      <c r="C636" s="185">
        <f t="shared" si="19"/>
        <v>182.6087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21497.166109999998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Maxim maskownica dolna 4,3 m 18mm oliwka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Herkules zestaw okuć 60kg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Herkules zestaw okuć 60kg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Herkules zestaw okuć 120kg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Everest zestaw do rączki Fox II</v>
      </c>
      <c r="C645" s="185">
        <f t="shared" si="21"/>
        <v>185.4768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20462.128990000001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Herkules zestaw okuć 120kg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Comfort tor górny 4,05m srebrny</v>
      </c>
      <c r="C647" s="185">
        <f t="shared" si="21"/>
        <v>257.95800000000003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27563.279180000001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Herkules zestaw okuć 60kg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Top tor górny pojedynczy 6 m srebrny</v>
      </c>
      <c r="C650" s="185">
        <f t="shared" si="21"/>
        <v>0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0</v>
      </c>
      <c r="K650" s="460">
        <v>25680.322690000001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Maxim tor górny 6 m srebrny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Herkules zestaw okuć 120kg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tor górny 3,6m czarny szczotkowany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Maxim maskownica dolna 6m 10mm srebrny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Comfort tor górny 4,05m jasny brąz</v>
      </c>
      <c r="C655" s="185">
        <f t="shared" si="21"/>
        <v>307.64983999999998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34434.067340000001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Line tor górny 2m alu surowy</v>
      </c>
      <c r="C656" s="185" t="e">
        <f t="shared" si="21"/>
        <v>#N/A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 t="e">
        <v>#N/A</v>
      </c>
      <c r="I656" s="460" t="e">
        <v>#N/A</v>
      </c>
      <c r="J656" s="460" t="e">
        <v>#N/A</v>
      </c>
      <c r="K656" s="460" t="e">
        <v>#N/A</v>
      </c>
      <c r="L656" s="459" t="e">
        <v>#N/A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Herkules 2 tor górny 6 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Top tor górny pojedynczy 6 m oliwka</v>
      </c>
      <c r="C658" s="185" t="e">
        <f t="shared" si="21"/>
        <v>#N/A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 t="e">
        <v>#N/A</v>
      </c>
      <c r="I658" s="460" t="e">
        <v>#N/A</v>
      </c>
      <c r="J658" s="460" t="e">
        <v>#N/A</v>
      </c>
      <c r="K658" s="460" t="e">
        <v>#N/A</v>
      </c>
      <c r="L658" s="459" t="e">
        <v>#N/A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Optima tor górny 6m srebrny</v>
      </c>
      <c r="C659" s="185" t="e">
        <f t="shared" si="21"/>
        <v>#N/A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 t="e">
        <v>#N/A</v>
      </c>
      <c r="I659" s="460" t="e">
        <v>#N/A</v>
      </c>
      <c r="J659" s="460" t="e">
        <v>#N/A</v>
      </c>
      <c r="K659" s="460" t="e">
        <v>#N/A</v>
      </c>
      <c r="L659" s="459" t="e">
        <v>#N/A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Herkules zestaw okuć 120kg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Herkules zestaw okuć 60kg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folia ochronna 500mm/50m przeźroczysta</v>
      </c>
      <c r="C662" s="185">
        <f t="shared" si="21"/>
        <v>238.62010000000001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28088.810160000001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Herkules zestaw okuć 120kg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Herkules Glass zestaw okuć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Comfort tor górny 6m srebrny</v>
      </c>
      <c r="C669" s="185">
        <f t="shared" si="21"/>
        <v>0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0</v>
      </c>
      <c r="K669" s="460">
        <v>40834.116679999999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Line zestaw okuć do 2 skrzydeł lewy</v>
      </c>
      <c r="C670" s="185" t="e">
        <f t="shared" si="21"/>
        <v>#N/A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 t="e">
        <v>#N/A</v>
      </c>
      <c r="I670" s="460" t="e">
        <v>#N/A</v>
      </c>
      <c r="J670" s="460" t="e">
        <v>#N/A</v>
      </c>
      <c r="K670" s="460" t="e">
        <v>#N/A</v>
      </c>
      <c r="L670" s="459" t="e">
        <v>#N/A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Line zestaw okuć do dwóch skrzydeł prawy</v>
      </c>
      <c r="C671" s="185">
        <f t="shared" si="21"/>
        <v>368.93400000000003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22014.566589999999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Comfort tor górny 6 m oliwka</v>
      </c>
      <c r="C672" s="185">
        <f t="shared" si="21"/>
        <v>0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0</v>
      </c>
      <c r="K672" s="460">
        <v>51020.110520000002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Herkules Glass zestaw okuć 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Prince zestaw okuć do drzwi składanych 1200mm srebrny</v>
      </c>
      <c r="C675" s="185" t="e">
        <f t="shared" si="21"/>
        <v>#N/A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 t="e">
        <v>#N/A</v>
      </c>
      <c r="I675" s="460" t="e">
        <v>#N/A</v>
      </c>
      <c r="J675" s="460" t="e">
        <v>#N/A</v>
      </c>
      <c r="K675" s="460" t="e">
        <v>#N/A</v>
      </c>
      <c r="L675" s="459" t="e">
        <v>#N/A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Maxim komplet torów dla 3 drzwi 2,5 m srebrny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ANB-folia ochronna 200mm/250m transparentna</v>
      </c>
      <c r="C677" s="185">
        <f t="shared" si="21"/>
        <v>325.75200000000001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93.888260000000002</v>
      </c>
      <c r="J677" s="460">
        <v>325.75200000000001</v>
      </c>
      <c r="K677" s="460" t="e">
        <v>#N/A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ANB-folia ochronna 250mm/250m transparentna</v>
      </c>
      <c r="C678" s="185">
        <f t="shared" si="21"/>
        <v>407.19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117.36033999999999</v>
      </c>
      <c r="J678" s="460">
        <v>407.19</v>
      </c>
      <c r="K678" s="460" t="e">
        <v>#N/A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ANB-folia ochronna 300mm/250m transparentna</v>
      </c>
      <c r="C679" s="185">
        <f t="shared" si="21"/>
        <v>488.62799999999999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140.83239</v>
      </c>
      <c r="J679" s="460">
        <v>488.62799999999999</v>
      </c>
      <c r="K679" s="460" t="e">
        <v>#N/A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ANB-folia ochronna 400mm/250m transparentna</v>
      </c>
      <c r="C680" s="185">
        <f t="shared" si="21"/>
        <v>651.50400000000002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187.77653000000001</v>
      </c>
      <c r="J680" s="460">
        <v>651.50400000000002</v>
      </c>
      <c r="K680" s="460" t="e">
        <v>#N/A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ANB-folia ochronna 500mm/250m transparentna</v>
      </c>
      <c r="C681" s="185">
        <f t="shared" si="21"/>
        <v>814.38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234.72066000000001</v>
      </c>
      <c r="J681" s="460">
        <v>814.38</v>
      </c>
      <c r="K681" s="460" t="e">
        <v>#N/A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OKE-szczoteczka odbojowa samoprzylepna 6,7x3mm szara</v>
      </c>
      <c r="C684" s="185">
        <f t="shared" si="21"/>
        <v>3.0701999999999998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 t="e">
        <v>#N/A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OKE-szczoteczka odbojowa samoprzylepna 6,7x5mm szara</v>
      </c>
      <c r="C685" s="185">
        <f t="shared" si="21"/>
        <v>3.2654200000000002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 t="e">
        <v>#N/A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2x wózek dolny WD18V bez pozycjonera ze sprężyną</v>
      </c>
      <c r="C688" s="185">
        <f t="shared" si="21"/>
        <v>24.316800000000001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2060.5293299999998</v>
      </c>
      <c r="L688" s="459" t="s">
        <v>538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Cleft tor dolny 1,7m jasny brąz</v>
      </c>
      <c r="C689" s="185" t="e">
        <f t="shared" si="21"/>
        <v>#N/A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 t="e">
        <v>#N/A</v>
      </c>
      <c r="I689" s="460" t="e">
        <v>#N/A</v>
      </c>
      <c r="J689" s="460" t="e">
        <v>#N/A</v>
      </c>
      <c r="K689" s="460" t="e">
        <v>#N/A</v>
      </c>
      <c r="L689" s="459" t="e">
        <v>#N/A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Cleft tor dolny 1,7m srebrny</v>
      </c>
      <c r="C690" s="185" t="e">
        <f t="shared" si="21"/>
        <v>#N/A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 t="e">
        <v>#N/A</v>
      </c>
      <c r="I690" s="460" t="e">
        <v>#N/A</v>
      </c>
      <c r="J690" s="460" t="e">
        <v>#N/A</v>
      </c>
      <c r="K690" s="460" t="e">
        <v>#N/A</v>
      </c>
      <c r="L690" s="459" t="e">
        <v>#N/A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Cleft tor dolny 1,7m złoty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Cleft tor dolny 3m złoty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Cleft tor dolny 4,05m złoty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Cleft tor dolny 6m srebrny</v>
      </c>
      <c r="C700" s="185" t="e">
        <f t="shared" si="21"/>
        <v>#N/A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 t="e">
        <v>#N/A</v>
      </c>
      <c r="I700" s="460" t="e">
        <v>#N/A</v>
      </c>
      <c r="J700" s="460" t="e">
        <v>#N/A</v>
      </c>
      <c r="K700" s="460" t="e">
        <v>#N/A</v>
      </c>
      <c r="L700" s="459" t="e">
        <v>#N/A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szczotka odbojowa z klejem 4,8x4 mm, szara</v>
      </c>
      <c r="C701" s="185">
        <f t="shared" si="21"/>
        <v>0.76500000000000001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81.360140000000001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SEV-Szczotka odbojowa z klejem 4,8x4mm, szara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szczotka przeciwkurzowa z klejem 6,7x13mm szara</v>
      </c>
      <c r="C703" s="185">
        <f t="shared" si="21"/>
        <v>1.2647999999999999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149.22027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szczotka odbojowa z klejem 6,7x4 mm, szara</v>
      </c>
      <c r="C704" s="185">
        <f t="shared" si="21"/>
        <v>1.0506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89.639870000000002</v>
      </c>
      <c r="L704" s="459" t="s">
        <v>538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szczotka odbojowa z klejem 6,7x9mm szara</v>
      </c>
      <c r="C705" s="185">
        <f t="shared" si="21"/>
        <v>1.581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153.77086</v>
      </c>
      <c r="L705" s="459" t="s">
        <v>538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szczotka odbojowa zasuwana 14,5x4 mm</v>
      </c>
      <c r="C706" s="185">
        <f t="shared" si="21"/>
        <v>1.224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97.2</v>
      </c>
      <c r="L706" s="459" t="s">
        <v>538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szczotka odbojowa bez kleju 14,5x4 mm, 50 m</v>
      </c>
      <c r="C707" s="185">
        <f t="shared" si="21"/>
        <v>68.401200000000003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6068.8232900000003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szczotka odbojowa bez kleju 4,8x4mm</v>
      </c>
      <c r="C708" s="185">
        <f t="shared" ref="C708:C771" si="23">IF($A$2=1,H708,IF($A$2=2,I708,IF($A$2=3,J708,IF($A$2=4,K708,IF($A$2&gt;4,O708,"zadat jazyk")))))</f>
        <v>0.35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35.639870000000002</v>
      </c>
      <c r="L708" s="459" t="s">
        <v>538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szczotka odbojowa bez kleju 4,8x4mm biała</v>
      </c>
      <c r="C709" s="185">
        <f t="shared" si="23"/>
        <v>0.59363999999999995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61.50817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szczotka odbojowa bez kleju 4,8x6mm</v>
      </c>
      <c r="C710" s="185">
        <f t="shared" si="23"/>
        <v>0.54059999999999997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54.202759999999998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szczotka przeciw kurzowa bez kleju 4,8x9 mm, szara</v>
      </c>
      <c r="C711" s="185">
        <f t="shared" si="23"/>
        <v>0.89759999999999995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92.262690000000006</v>
      </c>
      <c r="L711" s="459" t="s">
        <v>538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szczotka odbojowa bez kleju 14x4mm biała</v>
      </c>
      <c r="C712" s="185">
        <f t="shared" si="23"/>
        <v>1.43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149.05521999999999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Elegant II tor dolny 1,7 m, biały połysk</v>
      </c>
      <c r="C713" s="185">
        <f t="shared" si="23"/>
        <v>40.698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4176.5579900000002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Elegant II tor dolny 1,7 m czarny szczotkowany</v>
      </c>
      <c r="C714" s="185">
        <f t="shared" si="23"/>
        <v>55.386000000000003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5979.3887400000003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Elegant II tor dolny 1,7 m, jasny brąz</v>
      </c>
      <c r="C715" s="185">
        <f t="shared" si="23"/>
        <v>39.086399999999998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4006.2905700000001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tor dolny 1,7 m, jasny brąz szczotkowany</v>
      </c>
      <c r="C716" s="185">
        <f t="shared" si="23"/>
        <v>55.386000000000003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5979.3887400000003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Elegant II tor dolny 1,7m koniak szczotkowany</v>
      </c>
      <c r="C717" s="185">
        <f t="shared" si="23"/>
        <v>55.386000000000003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5979.3887400000003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Elegant II tor dolny 1,7m srebrny</v>
      </c>
      <c r="C718" s="185">
        <f t="shared" si="23"/>
        <v>31.293600000000001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3205.0324500000002</v>
      </c>
      <c r="L718" s="459" t="s">
        <v>538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Elegant II tor dolny 1,7m złoty</v>
      </c>
      <c r="C719" s="185">
        <f t="shared" si="23"/>
        <v>39.086399999999998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4006.2905700000001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Elegant II tor dolny 2,35 m, biały połysk</v>
      </c>
      <c r="C720" s="185">
        <f t="shared" si="23"/>
        <v>56.242800000000003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5739.01116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Elegant II tor dolny 2,35 m czarny szczotkowany</v>
      </c>
      <c r="C721" s="185">
        <f t="shared" si="23"/>
        <v>76.367400000000004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8262.9742999999999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tor dolny 2,35 m, jasny brąz szczotkowany</v>
      </c>
      <c r="C722" s="185">
        <f t="shared" si="23"/>
        <v>76.367400000000004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8262.9742999999999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Elegant II tor dolny 2,35m koniak szczotkowany</v>
      </c>
      <c r="C723" s="185">
        <f t="shared" si="23"/>
        <v>76.367400000000004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8262.9742999999999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Elegant II tor dolny 2,35m srebrny</v>
      </c>
      <c r="C724" s="185">
        <f t="shared" si="23"/>
        <v>43.278599999999997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4416.9351999999999</v>
      </c>
      <c r="L724" s="459" t="s">
        <v>538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Elegant II tor dolny 3 m, biały połysk</v>
      </c>
      <c r="C725" s="185">
        <f t="shared" si="23"/>
        <v>71.808000000000007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7291.4487600000002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Elegant II tor dolny 3 m, biały matowy</v>
      </c>
      <c r="C726" s="185">
        <f t="shared" si="23"/>
        <v>71.808000000000007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7291.4487600000002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Elegant II tor dolny 3 m czarny szczotkowany</v>
      </c>
      <c r="C727" s="185">
        <f t="shared" si="23"/>
        <v>97.675200000000004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10546.55984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tor dolny 3 m, jasny brąz szczotkowany</v>
      </c>
      <c r="C728" s="185">
        <f t="shared" si="23"/>
        <v>97.675200000000004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10546.55984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Elegant II tor dolny 3m koniak szczotkowany</v>
      </c>
      <c r="C729" s="185">
        <f t="shared" si="23"/>
        <v>97.675200000000004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10546.55984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Elegant II tor dolny 3m srebrny</v>
      </c>
      <c r="C730" s="185">
        <f t="shared" si="23"/>
        <v>55.212600000000002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5608.8068000000003</v>
      </c>
      <c r="L730" s="459" t="s">
        <v>538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Elegant II tor dolny 4,05 m, biały połysk</v>
      </c>
      <c r="C731" s="185">
        <f t="shared" si="23"/>
        <v>96.930599999999998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9875.5060699999995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Elegant II tor dolny 4,05 m czarny szczotkowany</v>
      </c>
      <c r="C732" s="185">
        <f t="shared" si="23"/>
        <v>131.8554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14242.36305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tor dolny 4,05 m, jasny brąz szczotkowany</v>
      </c>
      <c r="C733" s="185">
        <f t="shared" si="23"/>
        <v>131.8554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14242.36305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Elegant II tor dolny 4,05m koniak szczotkowany</v>
      </c>
      <c r="C734" s="185">
        <f t="shared" si="23"/>
        <v>131.8554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14242.36305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Elegant II tor dolny 4,05m srebrny</v>
      </c>
      <c r="C735" s="185">
        <f t="shared" si="23"/>
        <v>74.572199999999995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7601.9364999999998</v>
      </c>
      <c r="L735" s="459" t="s">
        <v>538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Elegant II tor dolny 6m czarny szczotkowany</v>
      </c>
      <c r="C736" s="185">
        <f t="shared" si="23"/>
        <v>0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0</v>
      </c>
      <c r="K736" s="460">
        <v>21093.11968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Elegant II tor dolny 6m jasny brąz szczotkowany</v>
      </c>
      <c r="C737" s="185">
        <f t="shared" si="23"/>
        <v>0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0</v>
      </c>
      <c r="K737" s="460">
        <v>21093.11968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Elegant II tor dolny 6m koniak szczotkowany</v>
      </c>
      <c r="C738" s="185" t="e">
        <f t="shared" si="23"/>
        <v>#N/A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 t="e">
        <v>#N/A</v>
      </c>
      <c r="I738" s="460" t="e">
        <v>#N/A</v>
      </c>
      <c r="J738" s="460" t="e">
        <v>#N/A</v>
      </c>
      <c r="K738" s="460" t="e">
        <v>#N/A</v>
      </c>
      <c r="L738" s="459" t="e">
        <v>#N/A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Elegant II tor dolny 6m, srebrny</v>
      </c>
      <c r="C739" s="185">
        <f t="shared" si="23"/>
        <v>0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0</v>
      </c>
      <c r="K739" s="460">
        <v>11227.629139999999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Fala rączka 10mm 2,70m jasny brąz</v>
      </c>
      <c r="C741" s="185">
        <f t="shared" si="23"/>
        <v>52.309190000000001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5534.0228800000004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Fala rączka 10mm 2,70m srebrny</v>
      </c>
      <c r="C742" s="185">
        <f t="shared" si="23"/>
        <v>45.41854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4669.3318200000003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Faworyt II rączka 2,7m jasny brąz</v>
      </c>
      <c r="C743" s="185">
        <f t="shared" si="23"/>
        <v>55.480780000000003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6209.7503900000002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Faworyt II rączka 2,7m srebrny</v>
      </c>
      <c r="C744" s="185">
        <f t="shared" si="23"/>
        <v>46.195799999999998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4847.6117400000003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Focus wózek górny 18mm 2szt</v>
      </c>
      <c r="C747" s="185">
        <f t="shared" si="23"/>
        <v>13.907170000000001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1547.9598100000001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Focus II 16 mm rączka 2,7 m, złota</v>
      </c>
      <c r="C748" s="185">
        <f t="shared" si="23"/>
        <v>36.509929999999997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4086.4163100000001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Fox II rączka 2,7m biały połysk</v>
      </c>
      <c r="C749" s="185">
        <f t="shared" si="23"/>
        <v>80.416799999999995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8313.0529399999996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Fox II rączka 2,7m czarny szczotkowany</v>
      </c>
      <c r="C750" s="185">
        <f t="shared" si="23"/>
        <v>90.198599999999999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9685.2075299999997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Fox II rączka 2,7 m, oliwka szczotkowana</v>
      </c>
      <c r="C751" s="185">
        <f t="shared" si="23"/>
        <v>90.198599999999999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9685.2075299999997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Gemini tor górny 1,7 m, biały połysk</v>
      </c>
      <c r="C752" s="185">
        <f t="shared" si="23"/>
        <v>74.653800000000004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7081.1186600000001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Gemini tor górny 1,7 m czarny szczotkowany</v>
      </c>
      <c r="C753" s="185">
        <f t="shared" si="23"/>
        <v>84.170400000000001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9364.7042000000001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tor górny 1,7 m, jasny brąz szczotkowany</v>
      </c>
      <c r="C754" s="185">
        <f t="shared" si="23"/>
        <v>84.170400000000001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9364.7042000000001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Gemini tor górny 1,7m koniak szczotkowany</v>
      </c>
      <c r="C755" s="185">
        <f t="shared" si="23"/>
        <v>84.170400000000001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9364.7042000000001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tor górny 2,35 m, biały połysk</v>
      </c>
      <c r="C756" s="185">
        <f t="shared" si="23"/>
        <v>103.20359999999999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9795.3803599999992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Gemini tor górny 2,35 m czarny szczotkowany</v>
      </c>
      <c r="C757" s="185">
        <f t="shared" si="23"/>
        <v>116.5962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12940.31861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tor górny 2,35 m, jasny brąz szczotkowany</v>
      </c>
      <c r="C758" s="185">
        <f t="shared" si="23"/>
        <v>116.5962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12940.31861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Gemini tor górny 2,35m koniak szczotkowany</v>
      </c>
      <c r="C759" s="185">
        <f t="shared" si="23"/>
        <v>116.5962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12940.31861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Gemini tor górny 3 m, biały połysk</v>
      </c>
      <c r="C760" s="185">
        <f t="shared" si="23"/>
        <v>131.79419999999999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12499.626490000001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Gemini tor górny 3 m czarny szczotkowany</v>
      </c>
      <c r="C761" s="185">
        <f t="shared" si="23"/>
        <v>148.83840000000001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16515.93302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tor górny 3 m, jasny brąz szczotkowany</v>
      </c>
      <c r="C762" s="185">
        <f t="shared" si="23"/>
        <v>148.83840000000001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16515.93302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Gemini tor górny 3m koniak szczotkowany</v>
      </c>
      <c r="C763" s="185">
        <f t="shared" si="23"/>
        <v>148.83840000000001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16515.93302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Gemini tor górny 4,05 m, biały połysk</v>
      </c>
      <c r="C764" s="185">
        <f t="shared" si="23"/>
        <v>177.9186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16876.499019999999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Gemini tor górny 4,05 m czarny szczotkowany</v>
      </c>
      <c r="C765" s="185">
        <f t="shared" si="23"/>
        <v>200.9196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22295.006850000002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02500-Y Gemini tor górny 4,05 m, jasny brąz szczotkowany</v>
      </c>
      <c r="C766" s="185">
        <f t="shared" si="23"/>
        <v>200.9196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22295.006850000002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Gemini tor górny 4,05m koniak szczotkowany</v>
      </c>
      <c r="C767" s="185">
        <f t="shared" si="23"/>
        <v>200.9196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22295.006850000002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Gemini tor górny 6m biały połysk</v>
      </c>
      <c r="C768" s="185">
        <f t="shared" si="23"/>
        <v>0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0</v>
      </c>
      <c r="K768" s="460">
        <v>24999.252980000001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Gemini tor górny 6m czarny szczotkowany</v>
      </c>
      <c r="C769" s="185">
        <f t="shared" si="23"/>
        <v>0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0</v>
      </c>
      <c r="K769" s="460">
        <v>33021.850079999997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Gemini tor górny 6m jasny brąz szczotkowany</v>
      </c>
      <c r="C770" s="185">
        <f t="shared" si="23"/>
        <v>0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0</v>
      </c>
      <c r="K770" s="460">
        <v>33021.850079999997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Gemini tor górny 6m koniak szczotkowany</v>
      </c>
      <c r="C771" s="185" t="e">
        <f t="shared" si="23"/>
        <v>#N/A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 t="e">
        <v>#N/A</v>
      </c>
      <c r="I771" s="460" t="e">
        <v>#N/A</v>
      </c>
      <c r="J771" s="460" t="e">
        <v>#N/A</v>
      </c>
      <c r="K771" s="460" t="e">
        <v>#N/A</v>
      </c>
      <c r="L771" s="459" t="e">
        <v>#N/A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Gemini-2 rączka 2,7m srebrny</v>
      </c>
      <c r="C772" s="185">
        <f t="shared" ref="C772:C835" si="25">IF($A$2=1,H772,IF($A$2=2,I772,IF($A$2=3,J772,IF($A$2=4,K772,IF($A$2&gt;4,O772,"zadat jazyk")))))</f>
        <v>78.988799999999998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7271.4172099999996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listwa pozioma górna 1,7m biały połysk</v>
      </c>
      <c r="C773" s="185">
        <f t="shared" si="25"/>
        <v>59.986199999999997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4036.3376800000001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listwa pozioma górna 1,7 m czarny szczotkowany</v>
      </c>
      <c r="C774" s="185">
        <f t="shared" si="25"/>
        <v>63.382800000000003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5047.9262699999999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listwa pozioma górna 1,7m jasny brąz</v>
      </c>
      <c r="C775" s="185">
        <f t="shared" si="25"/>
        <v>50.755200000000002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3705.8187600000001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górna listwa prowadząca 1,7m jasny brąz szczotkowany</v>
      </c>
      <c r="C776" s="185">
        <f t="shared" si="25"/>
        <v>63.382800000000003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5047.9262699999999</v>
      </c>
      <c r="L776" s="459" t="s">
        <v>539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listwa pozioma górna 1,7 m oliwka ciemna szczotkowana</v>
      </c>
      <c r="C777" s="185">
        <f t="shared" si="25"/>
        <v>63.382800000000003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5047.9262699999999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listwa pozioma górna 1,7m srebrny</v>
      </c>
      <c r="C778" s="185">
        <f t="shared" si="25"/>
        <v>46.144799999999996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3104.87518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listwa pozioma górna 2,35m biały połysk</v>
      </c>
      <c r="C779" s="185">
        <f t="shared" si="25"/>
        <v>82.936199999999999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5588.7752499999997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listwa pozioma górna 2,35m czarny szczotkowany</v>
      </c>
      <c r="C780" s="185">
        <f t="shared" si="25"/>
        <v>87.638400000000004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7000.9929199999997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listwa pozioma górna 2,35m jasny brąz</v>
      </c>
      <c r="C781" s="185">
        <f t="shared" si="25"/>
        <v>70.186199999999999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5138.0675700000002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górna listwa prowadząca 2,35m  jasny brąz szczotkowany</v>
      </c>
      <c r="C782" s="185">
        <f t="shared" si="25"/>
        <v>87.638400000000004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7000.9929199999997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listwa pozioma górna 2,35 m oliwka ciemna szczotkowana</v>
      </c>
      <c r="C783" s="185">
        <f t="shared" si="25"/>
        <v>87.638400000000004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7000.9929199999997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listwa pozioma górna 2,35m srebrny</v>
      </c>
      <c r="C784" s="185">
        <f t="shared" si="25"/>
        <v>63.801000000000002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4296.7467900000001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listwa pozioma górna 2,35m złoty</v>
      </c>
      <c r="C785" s="185">
        <f t="shared" si="25"/>
        <v>70.186199999999999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5138.0675700000002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listwa pozioma górna 3m biały połysk</v>
      </c>
      <c r="C786" s="185">
        <f t="shared" si="25"/>
        <v>105.8454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7131.1972999999998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listwa pozioma górna 3m czarny szczotkowany</v>
      </c>
      <c r="C787" s="185">
        <f t="shared" si="25"/>
        <v>111.41459999999999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8924.0120800000004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listwa pozioma górna 3m jasny brąz</v>
      </c>
      <c r="C788" s="185">
        <f t="shared" si="25"/>
        <v>89.566199999999995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6560.3008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górna listwa prowadząca 3m  jasny brąz szczotkowany</v>
      </c>
      <c r="C789" s="185">
        <f t="shared" si="25"/>
        <v>111.41459999999999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8924.0120800000004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listwa pozioma górna 3 m oliwka ciemna szczotkowana</v>
      </c>
      <c r="C790" s="185">
        <f t="shared" si="25"/>
        <v>111.41459999999999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8924.0120800000004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listwa pozioma górna 3m srebrny</v>
      </c>
      <c r="C791" s="185">
        <f t="shared" si="25"/>
        <v>81.426599999999993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5488.6179899999997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listwa pozioma górna 3m złoty</v>
      </c>
      <c r="C792" s="185">
        <f t="shared" si="25"/>
        <v>89.566199999999995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6560.3008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tor górny Simple/Blue 1,5 m (do płyty laminowanej 10 mm) oliwka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tor dolny Simple/Blue 2,5 m (do płyty laminowanej 10 mm) oliwka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tor górny Simple/Blue 2 m (do płyty laminowanej 10 mm) oliwka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listwa poz. górna Simple/Blue 3m (do płyty laminowanej 10mm) jasny brąz</v>
      </c>
      <c r="C796" s="185">
        <f t="shared" si="25"/>
        <v>52.450780000000002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5879.8990400000002</v>
      </c>
      <c r="L796" s="459" t="s">
        <v>538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tor dolny Simple/Blue 3m (do płyty laminowanej 10mm) srebrny</v>
      </c>
      <c r="C797" s="185">
        <f t="shared" si="25"/>
        <v>45.607320000000001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4699.85023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tor dolny Simple/Blue 1,5m (do płyty laminowanej 18mm) srebrny</v>
      </c>
      <c r="C799" s="185">
        <f t="shared" si="25"/>
        <v>24.998290000000001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2034.56717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tor dolny Simple/Blue 2,5 m (do płyty laminowanej 18 mm) oliwka</v>
      </c>
      <c r="C800" s="185" t="e">
        <f t="shared" si="25"/>
        <v>#N/A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 t="e">
        <v>#N/A</v>
      </c>
      <c r="I800" s="460" t="e">
        <v>#N/A</v>
      </c>
      <c r="J800" s="460" t="e">
        <v>#N/A</v>
      </c>
      <c r="K800" s="460" t="e">
        <v>#N/A</v>
      </c>
      <c r="L800" s="459" t="e">
        <v>#N/A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tor górny Simple/Blue 2,5 m (do płyty laminowanej 18 mm) srebrny</v>
      </c>
      <c r="C801" s="185" t="e">
        <f t="shared" si="25"/>
        <v>#N/A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 t="e">
        <v>#N/A</v>
      </c>
      <c r="I801" s="460" t="e">
        <v>#N/A</v>
      </c>
      <c r="J801" s="460" t="e">
        <v>#N/A</v>
      </c>
      <c r="K801" s="460" t="e">
        <v>#N/A</v>
      </c>
      <c r="L801" s="459" t="e">
        <v>#N/A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listwa poz. górna Simple/Blue 2m (do płyty laminowanej 18mm) jasny brąz</v>
      </c>
      <c r="C802" s="185">
        <f t="shared" si="25"/>
        <v>38.323360000000001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3357.0358299999998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tor górny Simple/Blue 2m (do płyty laminowanej 18mm) srebrny</v>
      </c>
      <c r="C803" s="185">
        <f t="shared" si="25"/>
        <v>33.336289999999998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2705.97417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listwa poz. górna Simple/Blue 3m (do płyty laminowanej 18mm) jasny brąz</v>
      </c>
      <c r="C804" s="185">
        <f t="shared" si="25"/>
        <v>57.532240000000002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5025.3810700000004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tor dolny Simple/Blue 3m (do płyty laminowanej 18mm) srebrny</v>
      </c>
      <c r="C805" s="185">
        <f t="shared" si="25"/>
        <v>50.028039999999997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4058.9616799999999</v>
      </c>
      <c r="L805" s="459" t="s">
        <v>538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wózek górny 10mm asymetryczny L+P</v>
      </c>
      <c r="C806" s="185">
        <f t="shared" si="25"/>
        <v>27.305399999999999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2204.04898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wózek górny Blue 10mm symetryczny L+P</v>
      </c>
      <c r="C807" s="185">
        <f t="shared" si="25"/>
        <v>15.244389999999999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1435.1946800000001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wózek górny Gemini symetryczny 10mm - 2szt</v>
      </c>
      <c r="C808" s="185">
        <f t="shared" si="25"/>
        <v>23.174399999999999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2040.0269000000001</v>
      </c>
      <c r="L808" s="459" t="s">
        <v>538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wózek górny Simple (10 mm Fala) asymetryczny L+P</v>
      </c>
      <c r="C809" s="185">
        <f t="shared" si="25"/>
        <v>8.4953299999999992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850.86532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wózek górny Simple (10 mm Polo) symetryczny L+P</v>
      </c>
      <c r="C810" s="185">
        <f t="shared" si="25"/>
        <v>8.4953299999999992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850.86532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wózek górny Simple (do płyty laminowanej 18mm) bezramowy L+P</v>
      </c>
      <c r="C811" s="185">
        <f t="shared" si="25"/>
        <v>7.5828699999999998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871.36820999999998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wózek górny Simple (do płyty laminowanej 18 mm) ramowy L+P</v>
      </c>
      <c r="C812" s="185">
        <f t="shared" si="25"/>
        <v>8.4953299999999992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850.86532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zaślepka do toru Cleft 1,7m złoty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zaślepka do toru Cleft 2,35m srebrny</v>
      </c>
      <c r="C820" s="185" t="e">
        <f t="shared" si="25"/>
        <v>#N/A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 t="e">
        <v>#N/A</v>
      </c>
      <c r="I820" s="460" t="e">
        <v>#N/A</v>
      </c>
      <c r="J820" s="460" t="e">
        <v>#N/A</v>
      </c>
      <c r="K820" s="460" t="e">
        <v>#N/A</v>
      </c>
      <c r="L820" s="459" t="e">
        <v>#N/A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zaślepka do toru Cleft 2,35m złoty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zaślepka do toru Cleft 3m złoty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zaślepka do toru Cleft 4,05m złoty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zaślepka do toru Cleft 6m srebrny</v>
      </c>
      <c r="C828" s="185">
        <f t="shared" si="25"/>
        <v>17.19848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maska do toru Elegant II 1,7m jasny brąz</v>
      </c>
      <c r="C829" s="185">
        <f t="shared" si="25"/>
        <v>11.006679999999999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1231.93427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zaślepka do toru Elegant II 1,7m srebrny</v>
      </c>
      <c r="C830" s="185">
        <f t="shared" si="25"/>
        <v>9.3840000000000003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991.55706999999995</v>
      </c>
      <c r="L830" s="459" t="s">
        <v>538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zaślepka do toru Elegant II 1,7m złoty</v>
      </c>
      <c r="C831" s="185">
        <f t="shared" si="25"/>
        <v>11.006679999999999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1231.93427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maska do toru Elegant II 2,35m jasny brąz</v>
      </c>
      <c r="C832" s="185">
        <f t="shared" si="25"/>
        <v>15.21246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1702.6734799999999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zaślepka do toru Elegant II 2,35m srebrny</v>
      </c>
      <c r="C833" s="185">
        <f t="shared" si="25"/>
        <v>12.9846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1362.1386299999999</v>
      </c>
      <c r="L833" s="459" t="s">
        <v>538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zaślepka do toru Elegant II 2,35m złoty</v>
      </c>
      <c r="C834" s="185">
        <f t="shared" si="25"/>
        <v>15.21246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1702.6734799999999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maska do toru Elegant II 3 m jasny brąz</v>
      </c>
      <c r="C835" s="185">
        <f t="shared" si="25"/>
        <v>19.507760000000001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2183.4282699999999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zaślepka do toru Elegant II 3m srebrny</v>
      </c>
      <c r="C836" s="185">
        <f t="shared" ref="C836:C899" si="27">IF($A$2=1,H836,IF($A$2=2,I836,IF($A$2=3,J836,IF($A$2=4,K836,IF($A$2&gt;4,O836,"zadat jazyk")))))</f>
        <v>16.564800000000002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1742.7365600000001</v>
      </c>
      <c r="L836" s="459" t="s">
        <v>538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maska do toru Elegant II 3m złoty</v>
      </c>
      <c r="C837" s="185">
        <f t="shared" si="27"/>
        <v>19.507760000000001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2183.4282699999999</v>
      </c>
      <c r="L837" s="459" t="s">
        <v>539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maska do toru Elegant II 4,05 m jasny brąz</v>
      </c>
      <c r="C838" s="185">
        <f t="shared" si="27"/>
        <v>26.30864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2944.62372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zaślepka do toru Elegant II 4,05m srebrny</v>
      </c>
      <c r="C839" s="185">
        <f t="shared" si="27"/>
        <v>22.368600000000001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2353.6957200000002</v>
      </c>
      <c r="L839" s="459" t="s">
        <v>538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maska do toru Elegant II 4,05m złoty</v>
      </c>
      <c r="C840" s="185">
        <f t="shared" si="27"/>
        <v>26.30864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2944.62372</v>
      </c>
      <c r="L840" s="459" t="s">
        <v>539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maska do toru Elegant II 6 m jasny brąz</v>
      </c>
      <c r="C841" s="185">
        <f t="shared" si="27"/>
        <v>0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0</v>
      </c>
      <c r="K841" s="460">
        <v>4356.8409799999999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maska do toru Elegant II 6 m srebrny</v>
      </c>
      <c r="C842" s="185">
        <f t="shared" si="27"/>
        <v>0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0</v>
      </c>
      <c r="K842" s="460">
        <v>3485.4726999999998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zaślepka do toru Elegant II 6m złoty</v>
      </c>
      <c r="C843" s="185">
        <f t="shared" si="27"/>
        <v>0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0</v>
      </c>
      <c r="K843" s="460">
        <v>4356.8409799999999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Micra C zestaw okuć dla 1 skrzydła</v>
      </c>
      <c r="C845" s="185">
        <f t="shared" si="27"/>
        <v>25.214400000000001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2443.8374100000001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Gemini 4 maskownica dolna 3 m 4 mm, srebrna</v>
      </c>
      <c r="C846" s="185">
        <f t="shared" si="27"/>
        <v>99.296999999999997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10015.726420000001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Polo rączka 10mm 2,70m jasny brąz</v>
      </c>
      <c r="C847" s="185">
        <f t="shared" si="27"/>
        <v>52.202739999999999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6083.3557700000001</v>
      </c>
      <c r="L847" s="459" t="s">
        <v>538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pozycjoner Simple Start</v>
      </c>
      <c r="C848" s="185" t="e">
        <f t="shared" si="27"/>
        <v>#N/A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 t="e">
        <v>#N/A</v>
      </c>
      <c r="I848" s="460" t="e">
        <v>#N/A</v>
      </c>
      <c r="J848" s="460" t="e">
        <v>#N/A</v>
      </c>
      <c r="K848" s="460" t="e">
        <v>#N/A</v>
      </c>
      <c r="L848" s="459" t="e">
        <v>#N/A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szczotka przeciwkurzowa bez kleju 4,8x13 mm, szara</v>
      </c>
      <c r="C849" s="185">
        <f t="shared" si="27"/>
        <v>0.80579999999999996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90.9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Rekord rączka 18mm 2,70m jasny brąz</v>
      </c>
      <c r="C850" s="185">
        <f t="shared" si="27"/>
        <v>58.838009999999997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6093.5288499999997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Smart tor dolny 1,7m jasny brąz</v>
      </c>
      <c r="C851" s="185">
        <f t="shared" si="27"/>
        <v>16.360800000000001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1822.8623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Smart tor dolny 2,35m jasny brąz</v>
      </c>
      <c r="C852" s="185">
        <f t="shared" si="27"/>
        <v>22.613399999999999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2513.9471800000001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Smart tor dolny 3m jasny brąz</v>
      </c>
      <c r="C853" s="185">
        <f t="shared" si="27"/>
        <v>28.855799999999999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3195.0168899999999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Smart tor dolny 3m srebrny</v>
      </c>
      <c r="C854" s="185">
        <f t="shared" si="27"/>
        <v>25.1022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2614.1044200000001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dolna maskownica 1,7 m 10 mm, biały połysk</v>
      </c>
      <c r="C855" s="185">
        <f t="shared" si="27"/>
        <v>70.369799999999998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7331.51181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listwa pozioma dolna 1,7 m 10 mm czarna szczotkowana</v>
      </c>
      <c r="C856" s="185">
        <f t="shared" si="27"/>
        <v>76.599260000000001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8573.4616399999995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maskownica dolna 1,7m 10mm jasny brąz</v>
      </c>
      <c r="C857" s="185">
        <f t="shared" si="27"/>
        <v>61.655250000000002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6900.83565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dolna listwa maskująca 1,7 m 10 mm, jasny brąz szczotkowany</v>
      </c>
      <c r="C858" s="185">
        <f t="shared" si="27"/>
        <v>76.599260000000001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8573.4616399999995</v>
      </c>
      <c r="L858" s="459" t="s">
        <v>539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maskownica dolna 1,7m 10mm srebrny</v>
      </c>
      <c r="C859" s="185">
        <f t="shared" si="27"/>
        <v>54.141599999999997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5638.8538900000003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listwa pozioma dolna 1,7m 10mm złoty</v>
      </c>
      <c r="C860" s="185">
        <f t="shared" si="27"/>
        <v>61.655250000000002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6900.83565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dolna maskownica 2,35 m 10 mm, biały połysk</v>
      </c>
      <c r="C861" s="185">
        <f t="shared" si="27"/>
        <v>97.287599999999998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10125.899240000001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maskownica dolna 2,35m 10mm jasny brąz</v>
      </c>
      <c r="C862" s="185">
        <f t="shared" si="27"/>
        <v>85.010859999999994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9514.9400999999998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dolna listwa maskująca 2,35 m 10 mm, jasny brąz szczotkowany</v>
      </c>
      <c r="C863" s="185">
        <f t="shared" si="27"/>
        <v>106.03986999999999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11868.6358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listwa maskownica dolna 2,35m 10mm srebrny</v>
      </c>
      <c r="C864" s="185">
        <f t="shared" si="27"/>
        <v>74.827200000000005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7792.2350699999997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listwa pozioma dolna 2,35 m 10 mm czarna szczotkowana</v>
      </c>
      <c r="C865" s="185">
        <f t="shared" si="27"/>
        <v>106.03986999999999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11868.6358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listwa pozioma dolna 3 m 10 mm, biały połysk</v>
      </c>
      <c r="C866" s="185">
        <f t="shared" si="27"/>
        <v>124.22580000000001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12960.35014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listwa pozioma dolna 3 m 10 mm czarna szczotkowana</v>
      </c>
      <c r="C867" s="185">
        <f t="shared" si="27"/>
        <v>135.48047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15163.809960000001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maskownica dolna 3m 10mm jasny brąz</v>
      </c>
      <c r="C868" s="185">
        <f t="shared" si="27"/>
        <v>108.81391000000001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12179.123159999999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dolna listwa maskująca 3 m 10 mm, jasny brąz szczotkowany</v>
      </c>
      <c r="C869" s="185">
        <f t="shared" si="27"/>
        <v>135.48047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15163.809960000001</v>
      </c>
      <c r="L869" s="459" t="s">
        <v>539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Gemini tor dolny 3m 10mm srebrny</v>
      </c>
      <c r="C870" s="185">
        <f t="shared" si="27"/>
        <v>95.563800000000001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9965.6477799999993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listwa pozioma dolna 3m 10mm złoty</v>
      </c>
      <c r="C871" s="185">
        <f t="shared" si="27"/>
        <v>108.81391000000001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12179.123159999999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maskownica dolna Simple/Blue 3m (do płyty laminowanej 10mm) jasny brąz</v>
      </c>
      <c r="C872" s="185">
        <f t="shared" si="27"/>
        <v>78.802019999999999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9094.51541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maskownica dolna Simple/Blue 3m (do płyty laminowanej 10mm) srebrny</v>
      </c>
      <c r="C873" s="185">
        <f t="shared" si="27"/>
        <v>68.544700000000006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7649.97264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maskownica dolna Simple/Blue 1,5m (do płyty laminowanej 18mm) srebrny</v>
      </c>
      <c r="C875" s="185">
        <f t="shared" si="27"/>
        <v>48.17165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3957.2333100000001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maskownica dolna Simple/Blue 2,5 m (do płyty laminowanej 18 mm) oliwka</v>
      </c>
      <c r="C876" s="185" t="e">
        <f t="shared" si="27"/>
        <v>#N/A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 t="e">
        <v>#N/A</v>
      </c>
      <c r="I876" s="460" t="e">
        <v>#N/A</v>
      </c>
      <c r="J876" s="460" t="e">
        <v>#N/A</v>
      </c>
      <c r="K876" s="460" t="e">
        <v>#N/A</v>
      </c>
      <c r="L876" s="459" t="e">
        <v>#N/A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maskownica dolna Simple/Blue 2,5 m (do płyty laminowanej 18 mm) srebrna</v>
      </c>
      <c r="C877" s="185">
        <f t="shared" si="27"/>
        <v>80.296570000000003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6591.99755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maskownica dolna Simple/Blue 2m (do płyty laminowanej 18mm) jasny brąz</v>
      </c>
      <c r="C878" s="185">
        <f t="shared" si="27"/>
        <v>72.241739999999993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6530.9607100000003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maskownica dolna Simple/Blue 2m (do płyty laminowanej 18mm) srebrny</v>
      </c>
      <c r="C879" s="185">
        <f t="shared" si="27"/>
        <v>64.234110000000001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5269.5288899999996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maskownica dolna Simple/Blue 3m (do płyty laminowanej 18mm) jasny brąz</v>
      </c>
      <c r="C880" s="185">
        <f t="shared" si="27"/>
        <v>108.34688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9796.4408399999993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maskownica dolna Simple/Blue 3m (do płyty laminowanej 18mm) srebrny</v>
      </c>
      <c r="C881" s="185">
        <f t="shared" si="27"/>
        <v>96.374769999999998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7904.2935500000003</v>
      </c>
      <c r="L881" s="459" t="s">
        <v>538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wózek dolny Simple/Blue V (system ramowy) - 2szt</v>
      </c>
      <c r="C883" s="185">
        <f t="shared" si="27"/>
        <v>16.17259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1076.396</v>
      </c>
      <c r="L883" s="459" t="s">
        <v>538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wózek dolny WD10 V 2 szt. bez pozycjonera</v>
      </c>
      <c r="C885" s="185">
        <f t="shared" si="27"/>
        <v>26.52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2368.0710600000002</v>
      </c>
      <c r="L885" s="459" t="s">
        <v>538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wózek dolny WD18V (2x wózek+pozycjoner) ze sprężyną</v>
      </c>
      <c r="C887" s="185" t="e">
        <f t="shared" si="27"/>
        <v>#N/A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 t="e">
        <v>#N/A</v>
      </c>
      <c r="I887" s="460" t="e">
        <v>#N/A</v>
      </c>
      <c r="J887" s="460" t="e">
        <v>#N/A</v>
      </c>
      <c r="K887" s="460" t="e">
        <v>#N/A</v>
      </c>
      <c r="L887" s="459" t="e">
        <v>#N/A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listwa pozioma dolna 2,35 m oliwka ciemna szczotkowana</v>
      </c>
      <c r="C888" s="185">
        <f t="shared" si="27"/>
        <v>106.03986999999999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11868.6358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listwa łącząca H10 Decor 3m, srebrna</v>
      </c>
      <c r="C889" s="185">
        <f t="shared" si="27"/>
        <v>48.042000000000002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5128.0520100000003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listwa łącząca H18 3m biały połysk</v>
      </c>
      <c r="C890" s="185">
        <f t="shared" si="27"/>
        <v>62.464799999999997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5999.42029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listwa łącząca H18 3m czarny szczotkowany</v>
      </c>
      <c r="C891" s="185">
        <f t="shared" si="27"/>
        <v>67.391400000000004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7451.7006300000003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spojovací lišta H18 3m oliva</v>
      </c>
      <c r="C892" s="185">
        <f t="shared" si="27"/>
        <v>52.856400000000001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5769.0582599999998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listwa łącząca H18 3m jasny brąz szczotkowany</v>
      </c>
      <c r="C893" s="185">
        <f t="shared" si="27"/>
        <v>67.391400000000004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7451.7006300000003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listwa łącząca H18 3 m  oliwka ciemna szczotkowana</v>
      </c>
      <c r="C894" s="185">
        <f t="shared" si="27"/>
        <v>67.391400000000004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7451.7006300000003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spojovací lišta H18 3m stříbrná</v>
      </c>
      <c r="C895" s="185">
        <f t="shared" si="27"/>
        <v>48.042000000000002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4617.2497100000001</v>
      </c>
      <c r="L895" s="459" t="s">
        <v>538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spojovací lišta H18 3m zlatá</v>
      </c>
      <c r="C896" s="185">
        <f t="shared" si="27"/>
        <v>52.856400000000001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5769.0582599999998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listwa łącząca Simple/Blue H21 3m (do płyty laminowanej 18mm) jasny brąz</v>
      </c>
      <c r="C897" s="185">
        <f t="shared" si="27"/>
        <v>54.071179999999998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5584.8870299999999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listwa łącząca Simple/Blue H28 3m (do płyty laminowanej 18mm) jasny brąz</v>
      </c>
      <c r="C898" s="185">
        <f t="shared" si="27"/>
        <v>83.149019999999993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9694.7124800000001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System 10 II rączka 2,7 m, srebrna</v>
      </c>
      <c r="C899" s="185">
        <f t="shared" si="27"/>
        <v>76.000200000000007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7271.4172099999996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uszczelka bezbarwna 10/4,5mm</v>
      </c>
      <c r="C900" s="185">
        <f t="shared" ref="C900:C963" si="29">IF($A$2=1,H900,IF($A$2=2,I900,IF($A$2=3,J900,IF($A$2=4,K900,IF($A$2&gt;4,O900,"zadat jazyk")))))</f>
        <v>2.7501000000000002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317.79295000000002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uszczelka do szkła 10/4 mm</v>
      </c>
      <c r="C901" s="185">
        <f t="shared" si="29"/>
        <v>2.7501000000000002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317.79295000000002</v>
      </c>
      <c r="L901" s="459" t="s">
        <v>538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uszczelka bezbarwna 10/6mm</v>
      </c>
      <c r="C902" s="185">
        <f t="shared" si="29"/>
        <v>2.7501000000000002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317.79295000000002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Tytan rączka 18 mm 2,7 m, oliwka</v>
      </c>
      <c r="C904" s="185">
        <f t="shared" si="29"/>
        <v>72.504180000000005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7271.4172099999996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Tytan rączka 18 mm 2,7 m, srebrna</v>
      </c>
      <c r="C905" s="185">
        <f t="shared" si="29"/>
        <v>67.83381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5979.3887400000003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kątownik Mini 17x11 mm 3 m, biały połysk</v>
      </c>
      <c r="C906" s="185">
        <f t="shared" si="29"/>
        <v>21.583200000000001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2163.3967400000001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16377 wzornik rączek 2019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 kątownik  3,6m srebrny (22/1)</v>
      </c>
      <c r="C913" s="185" t="e">
        <f t="shared" si="29"/>
        <v>#N/A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 t="e">
        <v>#N/A</v>
      </c>
      <c r="I913" s="460" t="e">
        <v>#N/A</v>
      </c>
      <c r="J913" s="460" t="e">
        <v>#N/A</v>
      </c>
      <c r="K913" s="460" t="e">
        <v>#N/A</v>
      </c>
      <c r="L913" s="459" t="e">
        <v>#N/A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kątownik  2,7m srebrny (22/1)</v>
      </c>
      <c r="C914" s="185">
        <f t="shared" si="29"/>
        <v>34.024070000000002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3064.8121299999998</v>
      </c>
      <c r="L914" s="459" t="s">
        <v>540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 kątownik 1,8m srebrny (22/1)</v>
      </c>
      <c r="C915" s="185" t="e">
        <f t="shared" si="29"/>
        <v>#N/A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 t="e">
        <v>#N/A</v>
      </c>
      <c r="I915" s="460" t="e">
        <v>#N/A</v>
      </c>
      <c r="J915" s="460" t="e">
        <v>#N/A</v>
      </c>
      <c r="K915" s="460" t="e">
        <v>#N/A</v>
      </c>
      <c r="L915" s="459" t="e">
        <v>#N/A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łacznik H08 profil 3m srebrny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 tor dolny 3,6m srebrny (22/1)</v>
      </c>
      <c r="C917" s="185">
        <f t="shared" si="29"/>
        <v>92.052850000000007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8533.3989999999994</v>
      </c>
      <c r="L917" s="459" t="s">
        <v>540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 tor dolny 2,7m srebrny (22/1)</v>
      </c>
      <c r="C918" s="185" t="e">
        <f t="shared" si="29"/>
        <v>#N/A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 t="e">
        <v>#N/A</v>
      </c>
      <c r="I918" s="460" t="e">
        <v>#N/A</v>
      </c>
      <c r="J918" s="460" t="e">
        <v>#N/A</v>
      </c>
      <c r="K918" s="460" t="e">
        <v>#N/A</v>
      </c>
      <c r="L918" s="459" t="e">
        <v>#N/A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 tor dolny 1,8m srebrny (22/1)</v>
      </c>
      <c r="C919" s="185" t="e">
        <f t="shared" si="29"/>
        <v>#N/A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 t="e">
        <v>#N/A</v>
      </c>
      <c r="I919" s="460" t="e">
        <v>#N/A</v>
      </c>
      <c r="J919" s="460" t="e">
        <v>#N/A</v>
      </c>
      <c r="K919" s="460" t="e">
        <v>#N/A</v>
      </c>
      <c r="L919" s="459" t="e">
        <v>#N/A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Orient rączka 2,7m srebrna (32/1)</v>
      </c>
      <c r="C920" s="185" t="e">
        <f t="shared" si="29"/>
        <v>#N/A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 t="e">
        <v>#N/A</v>
      </c>
      <c r="I920" s="460" t="e">
        <v>#N/A</v>
      </c>
      <c r="J920" s="460" t="e">
        <v>#N/A</v>
      </c>
      <c r="K920" s="460" t="e">
        <v>#N/A</v>
      </c>
      <c r="L920" s="459" t="e">
        <v>#N/A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 tor górny 3,6m srebrny (32/1)</v>
      </c>
      <c r="C921" s="185" t="e">
        <f t="shared" si="29"/>
        <v>#N/A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 t="e">
        <v>#N/A</v>
      </c>
      <c r="I921" s="460" t="e">
        <v>#N/A</v>
      </c>
      <c r="J921" s="460" t="e">
        <v>#N/A</v>
      </c>
      <c r="K921" s="460" t="e">
        <v>#N/A</v>
      </c>
      <c r="L921" s="459" t="e">
        <v>#N/A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(Astin)tor górny 2,7m srebrny (32/1)</v>
      </c>
      <c r="C922" s="185">
        <f t="shared" si="29"/>
        <v>144.12826999999999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14122.17425</v>
      </c>
      <c r="L922" s="459" t="s">
        <v>540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 tor górny 1,8m srebrny (32/1)</v>
      </c>
      <c r="C923" s="185">
        <f t="shared" si="29"/>
        <v>83.524460000000005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8182.8485600000004</v>
      </c>
      <c r="L923" s="459" t="s">
        <v>540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Elegant rączka 2,7m srebrna (22/1)</v>
      </c>
      <c r="C924" s="185">
        <f t="shared" si="29"/>
        <v>81.096440000000001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7541.8419000000004</v>
      </c>
      <c r="L924" s="459" t="s">
        <v>540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tor górny INTER S 35kg do sufitu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tor górny INTER S 35kg do sufitu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tor górny INTER B 35kg do ściany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tor górny INTER B 35kg do ściany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tor górny Galaxy S 50kg do sufitu 4m</v>
      </c>
      <c r="C929" s="185">
        <f t="shared" si="29"/>
        <v>84.933130000000006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9397.1080999999995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tor górny Galaxy S 50kg do sufitu 2,5m</v>
      </c>
      <c r="C930" s="185" t="e">
        <f t="shared" si="29"/>
        <v>#N/A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 t="e">
        <v>#N/A</v>
      </c>
      <c r="I930" s="460" t="e">
        <v>#N/A</v>
      </c>
      <c r="J930" s="460" t="e">
        <v>#N/A</v>
      </c>
      <c r="K930" s="460" t="e">
        <v>#N/A</v>
      </c>
      <c r="L930" s="459" t="e">
        <v>#N/A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tor górny Galaxy S 50kg do sufitu 1,5m</v>
      </c>
      <c r="C931" s="185">
        <f t="shared" si="29"/>
        <v>31.881550000000001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3525.1430799999998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tor górny Galaxy B 50kg do ściany 4m</v>
      </c>
      <c r="C932" s="185">
        <f t="shared" si="29"/>
        <v>89.2346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9868.4363300000005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tor górny Galaxy B 50kg do ściany 2,5m</v>
      </c>
      <c r="C933" s="185" t="e">
        <f t="shared" si="29"/>
        <v>#N/A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 t="e">
        <v>#N/A</v>
      </c>
      <c r="I933" s="460" t="e">
        <v>#N/A</v>
      </c>
      <c r="J933" s="460" t="e">
        <v>#N/A</v>
      </c>
      <c r="K933" s="460" t="e">
        <v>#N/A</v>
      </c>
      <c r="L933" s="459" t="e">
        <v>#N/A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Exclusive tor górny 1,8m srebrny</v>
      </c>
      <c r="C934" s="185" t="e">
        <f t="shared" si="29"/>
        <v>#N/A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 t="e">
        <v>#N/A</v>
      </c>
      <c r="I934" s="460" t="e">
        <v>#N/A</v>
      </c>
      <c r="J934" s="460" t="e">
        <v>#N/A</v>
      </c>
      <c r="K934" s="460" t="e">
        <v>#N/A</v>
      </c>
      <c r="L934" s="459" t="e">
        <v>#N/A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tor górny INTER S 35kg do sufitu 2m</v>
      </c>
      <c r="C935" s="185" t="e">
        <f t="shared" si="29"/>
        <v>#N/A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 t="e">
        <v>#N/A</v>
      </c>
      <c r="I935" s="460" t="e">
        <v>#N/A</v>
      </c>
      <c r="J935" s="460" t="e">
        <v>#N/A</v>
      </c>
      <c r="K935" s="460" t="e">
        <v>#N/A</v>
      </c>
      <c r="L935" s="459" t="e">
        <v>#N/A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tor górny INTER S 35kg do sufitu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tor górny INTER B 35kg do ściany 2m</v>
      </c>
      <c r="C937" s="185" t="e">
        <f t="shared" si="29"/>
        <v>#N/A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 t="e">
        <v>#N/A</v>
      </c>
      <c r="I937" s="460" t="e">
        <v>#N/A</v>
      </c>
      <c r="J937" s="460" t="e">
        <v>#N/A</v>
      </c>
      <c r="K937" s="460" t="e">
        <v>#N/A</v>
      </c>
      <c r="L937" s="459" t="e">
        <v>#N/A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tor górny INTER B 35kg do ściany 1,5m</v>
      </c>
      <c r="C938" s="185" t="e">
        <f t="shared" si="29"/>
        <v>#N/A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 t="e">
        <v>#N/A</v>
      </c>
      <c r="I938" s="460" t="e">
        <v>#N/A</v>
      </c>
      <c r="J938" s="460" t="e">
        <v>#N/A</v>
      </c>
      <c r="K938" s="460" t="e">
        <v>#N/A</v>
      </c>
      <c r="L938" s="459" t="e">
        <v>#N/A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tor górny Galaxy S 50kg do sufitu 6m</v>
      </c>
      <c r="C939" s="185">
        <f t="shared" si="29"/>
        <v>0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0</v>
      </c>
      <c r="K939" s="460">
        <v>14090.752350000001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tor górny Galaxy S 50kg do sufitu 3m</v>
      </c>
      <c r="C940" s="185">
        <f t="shared" si="29"/>
        <v>63.678759999999997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7040.4665999999997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tor górny Galaxy S 50kg do sufitu 2m</v>
      </c>
      <c r="C941" s="185">
        <f t="shared" si="29"/>
        <v>42.508749999999999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4703.4638500000001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tor górny Galaxy B 50kg do ściany 6m</v>
      </c>
      <c r="C942" s="185">
        <f t="shared" si="29"/>
        <v>0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0</v>
      </c>
      <c r="K942" s="460">
        <v>14817.38365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tor górny Galaxy B 50kg do ściany 3m</v>
      </c>
      <c r="C943" s="185">
        <f t="shared" si="29"/>
        <v>66.968130000000002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7403.7822299999998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tor górny Galaxy B 50kg do ściany 2m</v>
      </c>
      <c r="C944" s="185">
        <f t="shared" si="29"/>
        <v>44.6173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4939.1277499999997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wiertło stopniowe 6,5/9,5mm</v>
      </c>
      <c r="C945" s="185">
        <f t="shared" si="29"/>
        <v>116.85122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pudełko wzorów profili Simple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szablon do wózków do płyty laminowanej 18mm</v>
      </c>
      <c r="C954" s="185">
        <f t="shared" si="29"/>
        <v>17.821909999999999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538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szablon reklamowy do wózków do płyty laminowanej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wózek dolny V 10mm + pomoc montażowa gratis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wózek dolny V 10mm + Fix + wiertło gratis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wózek dolny V 10mm - 2 szt+ pozycjoner</v>
      </c>
      <c r="C962" s="185" t="e">
        <f t="shared" si="29"/>
        <v>#N/A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 t="e">
        <v>#N/A</v>
      </c>
      <c r="I962" s="460" t="e">
        <v>#N/A</v>
      </c>
      <c r="J962" s="460" t="e">
        <v>#N/A</v>
      </c>
      <c r="K962" s="460" t="e">
        <v>#N/A</v>
      </c>
      <c r="L962" s="459" t="e">
        <v>#N/A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wzornik folii</v>
      </c>
      <c r="C963" s="185" t="e">
        <f t="shared" si="29"/>
        <v>#N/A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 t="e">
        <v>#N/A</v>
      </c>
      <c r="I963" s="460" t="e">
        <v>#N/A</v>
      </c>
      <c r="J963" s="460" t="e">
        <v>#N/A</v>
      </c>
      <c r="K963" s="460" t="e">
        <v>#N/A</v>
      </c>
      <c r="L963" s="459" t="e">
        <v>#N/A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element montażowy do Eden/Pax</v>
      </c>
      <c r="C969" s="185" t="e">
        <f t="shared" si="31"/>
        <v>#N/A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 t="e">
        <v>#N/A</v>
      </c>
      <c r="I969" s="460" t="e">
        <v>#N/A</v>
      </c>
      <c r="J969" s="460" t="e">
        <v>#N/A</v>
      </c>
      <c r="K969" s="460" t="e">
        <v>#N/A</v>
      </c>
      <c r="L969" s="459" t="e">
        <v>#N/A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element montażowy do płyty laminowanej 10mm duży</v>
      </c>
      <c r="C970" s="185">
        <f t="shared" si="31"/>
        <v>506.41131999999999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wiertło stopniowe 6,5/9,5mm</v>
      </c>
      <c r="C975" s="185">
        <f t="shared" si="31"/>
        <v>116.85122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Simple/Blue element montażowy do płyty laminowanej 10/18mm</v>
      </c>
      <c r="C976" s="185">
        <f t="shared" si="31"/>
        <v>50.611429999999999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273.41048000000001</v>
      </c>
      <c r="I976" s="460">
        <v>12.017609999999999</v>
      </c>
      <c r="J976" s="460">
        <v>50.611429999999999</v>
      </c>
      <c r="K976" s="460">
        <v>4298.9068900000002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element montażowy do systemu Maxim mały</v>
      </c>
      <c r="C977" s="185" t="e">
        <f t="shared" si="31"/>
        <v>#N/A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 t="e">
        <v>#N/A</v>
      </c>
      <c r="I977" s="460" t="e">
        <v>#N/A</v>
      </c>
      <c r="J977" s="460" t="e">
        <v>#N/A</v>
      </c>
      <c r="K977" s="460" t="e">
        <v>#N/A</v>
      </c>
      <c r="L977" s="459" t="e">
        <v>#N/A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element montażowy do płyty laminowanej 10mm mały</v>
      </c>
      <c r="C978" s="185">
        <f t="shared" si="31"/>
        <v>51.590769999999999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276.76895000000002</v>
      </c>
      <c r="I978" s="460">
        <v>12.06592</v>
      </c>
      <c r="J978" s="460">
        <v>51.590769999999999</v>
      </c>
      <c r="K978" s="460">
        <v>4493.0024999999996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Micra szablon do wózków - 1 para</v>
      </c>
      <c r="C979" s="185">
        <f t="shared" si="31"/>
        <v>23.25816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klip do mocowanie toru dolnego Gemini</v>
      </c>
      <c r="C980" s="185">
        <f t="shared" si="31"/>
        <v>0.80537000000000003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90.141710000000003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IF-nakładka samoprzylepna 20mm 15szt. 93336 Aluminium mat</v>
      </c>
      <c r="C981" s="185" t="e">
        <f t="shared" si="31"/>
        <v>#N/A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 t="e">
        <v>#N/A</v>
      </c>
      <c r="I981" s="460" t="e">
        <v>#N/A</v>
      </c>
      <c r="J981" s="460" t="e">
        <v>#N/A</v>
      </c>
      <c r="K981" s="460" t="e">
        <v>#N/A</v>
      </c>
      <c r="L981" s="459" t="e">
        <v>#N/A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IF-nakładka samoprzylepna 13mm 20szt. 06 oliwkowy metalik</v>
      </c>
      <c r="C982" s="185" t="e">
        <f t="shared" si="31"/>
        <v>#N/A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 t="e">
        <v>#N/A</v>
      </c>
      <c r="I982" s="460" t="e">
        <v>#N/A</v>
      </c>
      <c r="J982" s="460" t="e">
        <v>#N/A</v>
      </c>
      <c r="K982" s="460" t="e">
        <v>#N/A</v>
      </c>
      <c r="L982" s="459" t="e">
        <v>#N/A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IC-rączka Rome 10mm alu EU 5,3m srebrna</v>
      </c>
      <c r="C983" s="185" t="e">
        <f t="shared" si="31"/>
        <v>#N/A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 t="e">
        <v>#N/A</v>
      </c>
      <c r="I983" s="460" t="e">
        <v>#N/A</v>
      </c>
      <c r="J983" s="460" t="e">
        <v>#N/A</v>
      </c>
      <c r="K983" s="460" t="e">
        <v>#N/A</v>
      </c>
      <c r="L983" s="459" t="e">
        <v>#N/A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81.098039999999997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430.71</v>
      </c>
      <c r="I984" s="460">
        <v>18.382560000000002</v>
      </c>
      <c r="J984" s="460">
        <v>81.098039999999997</v>
      </c>
      <c r="K984" s="460" t="e">
        <v>#N/A</v>
      </c>
      <c r="L984" s="459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>SEVROLL wiertło stopniowe 6,5/9,5mm (promocja)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element montażowy do płyty laminowanej 10mm mały (promocja)</v>
      </c>
      <c r="C988" s="185" t="e">
        <f t="shared" si="31"/>
        <v>#N/A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 t="e">
        <v>#N/A</v>
      </c>
      <c r="I988" s="460" t="e">
        <v>#N/A</v>
      </c>
      <c r="J988" s="460" t="e">
        <v>#N/A</v>
      </c>
      <c r="K988" s="460" t="e">
        <v>#N/A</v>
      </c>
      <c r="L988" s="459" t="e">
        <v>#N/A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S-szcotka przezciwkurzowa wysoka 4,8x12mm szary</v>
      </c>
      <c r="C989" s="185" t="e">
        <f t="shared" si="31"/>
        <v>#N/A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 t="e">
        <v>#N/A</v>
      </c>
      <c r="I989" s="460" t="e">
        <v>#N/A</v>
      </c>
      <c r="J989" s="460" t="e">
        <v>#N/A</v>
      </c>
      <c r="K989" s="460" t="e">
        <v>#N/A</v>
      </c>
      <c r="L989" s="459" t="e">
        <v>#N/A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Profil pionowy szeroki Classic arktyczny srebrny</v>
      </c>
      <c r="C990" s="185" t="e">
        <f t="shared" si="31"/>
        <v>#N/A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 t="e">
        <v>#N/A</v>
      </c>
      <c r="I990" s="460" t="e">
        <v>#N/A</v>
      </c>
      <c r="J990" s="460" t="e">
        <v>#N/A</v>
      </c>
      <c r="K990" s="460" t="e">
        <v>#N/A</v>
      </c>
      <c r="L990" s="459" t="e">
        <v>#N/A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IC-tor górny arktyczny srebrny 2m</v>
      </c>
      <c r="C991" s="185" t="e">
        <f t="shared" si="31"/>
        <v>#N/A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 t="e">
        <v>#N/A</v>
      </c>
      <c r="I991" s="460" t="e">
        <v>#N/A</v>
      </c>
      <c r="J991" s="460" t="e">
        <v>#N/A</v>
      </c>
      <c r="K991" s="460" t="e">
        <v>#N/A</v>
      </c>
      <c r="L991" s="459" t="e">
        <v>#N/A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IC-tor dolny arktyczny srebrny 2m</v>
      </c>
      <c r="C992" s="185" t="e">
        <f t="shared" si="31"/>
        <v>#N/A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 t="e">
        <v>#N/A</v>
      </c>
      <c r="I992" s="460" t="e">
        <v>#N/A</v>
      </c>
      <c r="J992" s="460" t="e">
        <v>#N/A</v>
      </c>
      <c r="K992" s="460" t="e">
        <v>#N/A</v>
      </c>
      <c r="L992" s="459" t="e">
        <v>#N/A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 mm Profil pionowy standard, biały, 2,75 m</v>
      </c>
      <c r="C993" s="185" t="e">
        <f t="shared" si="31"/>
        <v>#N/A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 t="e">
        <v>#N/A</v>
      </c>
      <c r="I993" s="460" t="e">
        <v>#N/A</v>
      </c>
      <c r="J993" s="460" t="e">
        <v>#N/A</v>
      </c>
      <c r="K993" s="460" t="e">
        <v>#N/A</v>
      </c>
      <c r="L993" s="459" t="e">
        <v>#N/A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IC-tor górny biały 2m</v>
      </c>
      <c r="C994" s="185" t="e">
        <f t="shared" si="31"/>
        <v>#N/A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 t="e">
        <v>#N/A</v>
      </c>
      <c r="I994" s="460" t="e">
        <v>#N/A</v>
      </c>
      <c r="J994" s="460" t="e">
        <v>#N/A</v>
      </c>
      <c r="K994" s="460" t="e">
        <v>#N/A</v>
      </c>
      <c r="L994" s="459" t="e">
        <v>#N/A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IC-tor dolny biały 2m</v>
      </c>
      <c r="C995" s="185" t="e">
        <f t="shared" si="31"/>
        <v>#N/A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 t="e">
        <v>#N/A</v>
      </c>
      <c r="I995" s="460" t="e">
        <v>#N/A</v>
      </c>
      <c r="J995" s="460" t="e">
        <v>#N/A</v>
      </c>
      <c r="K995" s="460" t="e">
        <v>#N/A</v>
      </c>
      <c r="L995" s="459" t="e">
        <v>#N/A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 mm Profil prowadzący, biały, 2,4 m</v>
      </c>
      <c r="C996" s="185" t="e">
        <f t="shared" si="31"/>
        <v>#N/A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 t="e">
        <v>#N/A</v>
      </c>
      <c r="I996" s="460" t="e">
        <v>#N/A</v>
      </c>
      <c r="J996" s="460" t="e">
        <v>#N/A</v>
      </c>
      <c r="K996" s="460" t="e">
        <v>#N/A</v>
      </c>
      <c r="L996" s="459" t="e">
        <v>#N/A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profil dzielący biały 2,75m</v>
      </c>
      <c r="C997" s="185" t="e">
        <f t="shared" si="31"/>
        <v>#N/A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 t="e">
        <v>#N/A</v>
      </c>
      <c r="I997" s="460" t="e">
        <v>#N/A</v>
      </c>
      <c r="J997" s="460" t="e">
        <v>#N/A</v>
      </c>
      <c r="K997" s="460" t="e">
        <v>#N/A</v>
      </c>
      <c r="L997" s="459" t="e">
        <v>#N/A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IC-pozycjoner do drzwi przesuwnych transparentny</v>
      </c>
      <c r="C998" s="185" t="e">
        <f t="shared" si="31"/>
        <v>#N/A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 t="e">
        <v>#N/A</v>
      </c>
      <c r="I998" s="460" t="e">
        <v>#N/A</v>
      </c>
      <c r="J998" s="460" t="e">
        <v>#N/A</v>
      </c>
      <c r="K998" s="460" t="e">
        <v>#N/A</v>
      </c>
      <c r="L998" s="459" t="e">
        <v>#N/A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klucz imbusowy SEVROLL</v>
      </c>
      <c r="C999" s="185">
        <f t="shared" si="31"/>
        <v>13.870189999999999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1552.4376</v>
      </c>
      <c r="L999" s="459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Rączka Era 18 mm 2,70 m, biała połysk</v>
      </c>
      <c r="C1000" s="185">
        <f t="shared" si="31"/>
        <v>55.817450000000001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6215.6025399999999</v>
      </c>
      <c r="L1000" s="459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Rączka Vitara 2,7m srebrna</v>
      </c>
      <c r="C1001" s="185">
        <f t="shared" si="31"/>
        <v>57.018000000000001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5598.7912200000001</v>
      </c>
      <c r="L1001" s="459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Rączka Vitara 2,7m oliwka</v>
      </c>
      <c r="C1002" s="185">
        <f t="shared" si="31"/>
        <v>63.872399999999999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7021.0240599999997</v>
      </c>
      <c r="L1002" s="459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Rączka Vitara 2,7m biały błyszczący</v>
      </c>
      <c r="C1003" s="185">
        <f t="shared" si="31"/>
        <v>74.143799999999999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7271.4172099999996</v>
      </c>
      <c r="L1003" s="459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tor dolny 150mm biały matowy (wzorek)</v>
      </c>
      <c r="C1004" s="185" t="e">
        <f t="shared" si="31"/>
        <v>#N/A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 t="e">
        <v>#N/A</v>
      </c>
      <c r="I1004" s="460" t="e">
        <v>#N/A</v>
      </c>
      <c r="J1004" s="460" t="e">
        <v>#N/A</v>
      </c>
      <c r="K1004" s="460" t="e">
        <v>#N/A</v>
      </c>
      <c r="L1004" s="459" t="e">
        <v>#N/A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tor dolny 150mm czarny połysk (wzorek)</v>
      </c>
      <c r="C1005" s="185" t="e">
        <f t="shared" si="31"/>
        <v>#N/A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 t="e">
        <v>#N/A</v>
      </c>
      <c r="I1005" s="460" t="e">
        <v>#N/A</v>
      </c>
      <c r="J1005" s="460" t="e">
        <v>#N/A</v>
      </c>
      <c r="K1005" s="460" t="e">
        <v>#N/A</v>
      </c>
      <c r="L1005" s="459" t="e">
        <v>#N/A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nośność 170 kg</v>
      </c>
      <c r="C1006" s="185" t="e">
        <f t="shared" si="31"/>
        <v>#N/A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 t="e">
        <v>#N/A</v>
      </c>
      <c r="I1006" s="460" t="e">
        <v>#N/A</v>
      </c>
      <c r="J1006" s="460" t="e">
        <v>#N/A</v>
      </c>
      <c r="K1006" s="460" t="e">
        <v>#N/A</v>
      </c>
      <c r="L1006" s="459" t="e">
        <v>#N/A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Elegant II tor dolny 1,7 m czarny mat</v>
      </c>
      <c r="C1007" s="185">
        <f t="shared" si="31"/>
        <v>40.698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4176.5579900000002</v>
      </c>
      <c r="L1007" s="459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Gemini tor górny 1,7 m czarny mat</v>
      </c>
      <c r="C1008" s="185">
        <f t="shared" si="31"/>
        <v>74.653800000000004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7081.1186600000001</v>
      </c>
      <c r="L1008" s="459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Pax uchwyt przyklejany czarny polysk</v>
      </c>
      <c r="C1009" s="185">
        <f t="shared" si="31"/>
        <v>32.751550000000002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3665.7557099999999</v>
      </c>
      <c r="L1009" s="459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Pax zaślepka do rączki (4 szt.), czarny mat</v>
      </c>
      <c r="C1010" s="185">
        <f t="shared" si="31"/>
        <v>34.68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3567.4838199999999</v>
      </c>
      <c r="L1010" s="459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profil "U" do płyty laminowanej 18mm 3m czarny mat</v>
      </c>
      <c r="C1011" s="185">
        <f t="shared" si="31"/>
        <v>27.009599999999999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2383.7428100000002</v>
      </c>
      <c r="L1011" s="459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kątownik Mini 17x11 mm 1,7 m czarny mat</v>
      </c>
      <c r="C1012" s="185">
        <f t="shared" si="31"/>
        <v>12.2094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1221.9187199999999</v>
      </c>
      <c r="L1012" s="459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listwa pozioma dolna 1,7m 10mm czarny mat</v>
      </c>
      <c r="C1013" s="185">
        <f t="shared" si="31"/>
        <v>70.369799999999998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7331.51181</v>
      </c>
      <c r="L1013" s="459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listwa pozioma dolna 2,35m 10mm czarny mat</v>
      </c>
      <c r="C1014" s="185">
        <f t="shared" si="31"/>
        <v>97.287599999999998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10125.899240000001</v>
      </c>
      <c r="L1014" s="459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listaw pozioma dolna 3m 10mm czarny mat</v>
      </c>
      <c r="C1015" s="185">
        <f t="shared" si="31"/>
        <v>124.22580000000001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12960.35014</v>
      </c>
      <c r="L1015" s="459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Pax maskownica dolna 3m 4mm czarny mat</v>
      </c>
      <c r="C1016" s="185">
        <f t="shared" si="31"/>
        <v>129.11160000000001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13020.44433</v>
      </c>
      <c r="L1016" s="459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Pax XL maskownica dolna 3m 4mm bialy polysk</v>
      </c>
      <c r="C1017" s="185" t="e">
        <f t="shared" si="31"/>
        <v>#N/A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 t="e">
        <v>#N/A</v>
      </c>
      <c r="I1017" s="460" t="e">
        <v>#N/A</v>
      </c>
      <c r="J1017" s="460" t="e">
        <v>#N/A</v>
      </c>
      <c r="K1017" s="460" t="e">
        <v>#N/A</v>
      </c>
      <c r="L1017" s="459" t="e">
        <v>#N/A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Pax XL maskownica dolna 3m 4mm czarny mat</v>
      </c>
      <c r="C1018" s="185">
        <f t="shared" si="31"/>
        <v>145.11539999999999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14552.850409999999</v>
      </c>
      <c r="L1018" s="459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listwa pozioma górna 1,7m czarny mat</v>
      </c>
      <c r="C1019" s="185">
        <f t="shared" si="31"/>
        <v>59.986199999999997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4036.3376800000001</v>
      </c>
      <c r="L1019" s="459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Profil pionowy Standard klon UP 2,75m</v>
      </c>
      <c r="C1020" s="185" t="e">
        <f t="shared" si="31"/>
        <v>#N/A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 t="e">
        <v>#N/A</v>
      </c>
      <c r="I1020" s="460" t="e">
        <v>#N/A</v>
      </c>
      <c r="J1020" s="460" t="e">
        <v>#N/A</v>
      </c>
      <c r="K1020" s="460" t="e">
        <v>#N/A</v>
      </c>
      <c r="L1020" s="459" t="e">
        <v>#N/A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IC-Profil Standard 10 mm klon UP 2,75 m</v>
      </c>
      <c r="C1021" s="185" t="e">
        <f t="shared" si="31"/>
        <v>#N/A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 t="e">
        <v>#N/A</v>
      </c>
      <c r="I1021" s="460" t="e">
        <v>#N/A</v>
      </c>
      <c r="J1021" s="460" t="e">
        <v>#N/A</v>
      </c>
      <c r="K1021" s="460" t="e">
        <v>#N/A</v>
      </c>
      <c r="L1021" s="459" t="e">
        <v>#N/A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IC-tor górny klon 2m</v>
      </c>
      <c r="C1022" s="185" t="e">
        <f t="shared" si="31"/>
        <v>#N/A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 t="e">
        <v>#N/A</v>
      </c>
      <c r="I1022" s="460" t="e">
        <v>#N/A</v>
      </c>
      <c r="J1022" s="460" t="e">
        <v>#N/A</v>
      </c>
      <c r="K1022" s="460" t="e">
        <v>#N/A</v>
      </c>
      <c r="L1022" s="459" t="e">
        <v>#N/A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IC-tor dolny koln 2m</v>
      </c>
      <c r="C1023" s="185" t="e">
        <f t="shared" si="31"/>
        <v>#N/A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 t="e">
        <v>#N/A</v>
      </c>
      <c r="I1023" s="460" t="e">
        <v>#N/A</v>
      </c>
      <c r="J1023" s="460" t="e">
        <v>#N/A</v>
      </c>
      <c r="K1023" s="460" t="e">
        <v>#N/A</v>
      </c>
      <c r="L1023" s="459" t="e">
        <v>#N/A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Profil poziomy klon 2,4m</v>
      </c>
      <c r="C1024" s="185" t="e">
        <f t="shared" si="31"/>
        <v>#N/A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 t="e">
        <v>#N/A</v>
      </c>
      <c r="I1024" s="460" t="e">
        <v>#N/A</v>
      </c>
      <c r="J1024" s="460" t="e">
        <v>#N/A</v>
      </c>
      <c r="K1024" s="460" t="e">
        <v>#N/A</v>
      </c>
      <c r="L1024" s="459" t="e">
        <v>#N/A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Profil poziomy klon 2,4m</v>
      </c>
      <c r="C1025" s="185" t="e">
        <f t="shared" si="31"/>
        <v>#N/A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 t="e">
        <v>#N/A</v>
      </c>
      <c r="I1025" s="460" t="e">
        <v>#N/A</v>
      </c>
      <c r="J1025" s="460" t="e">
        <v>#N/A</v>
      </c>
      <c r="K1025" s="460" t="e">
        <v>#N/A</v>
      </c>
      <c r="L1025" s="459" t="e">
        <v>#N/A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Profil pionowy szeroki Classic buk</v>
      </c>
      <c r="C1032" s="185" t="e">
        <f t="shared" si="33"/>
        <v>#N/A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 t="e">
        <v>#N/A</v>
      </c>
      <c r="I1032" s="460" t="e">
        <v>#N/A</v>
      </c>
      <c r="J1032" s="460" t="e">
        <v>#N/A</v>
      </c>
      <c r="K1032" s="460" t="e">
        <v>#N/A</v>
      </c>
      <c r="L1032" s="459" t="e">
        <v>#N/A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IC-tor górny buk 3m</v>
      </c>
      <c r="C1033" s="185" t="e">
        <f t="shared" si="33"/>
        <v>#N/A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 t="e">
        <v>#N/A</v>
      </c>
      <c r="I1033" s="460" t="e">
        <v>#N/A</v>
      </c>
      <c r="J1033" s="460" t="e">
        <v>#N/A</v>
      </c>
      <c r="K1033" s="460" t="e">
        <v>#N/A</v>
      </c>
      <c r="L1033" s="459" t="e">
        <v>#N/A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IC-tor dolny buk 3m</v>
      </c>
      <c r="C1034" s="185" t="e">
        <f t="shared" si="33"/>
        <v>#N/A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 t="e">
        <v>#N/A</v>
      </c>
      <c r="I1034" s="460" t="e">
        <v>#N/A</v>
      </c>
      <c r="J1034" s="460" t="e">
        <v>#N/A</v>
      </c>
      <c r="K1034" s="460" t="e">
        <v>#N/A</v>
      </c>
      <c r="L1034" s="459" t="e">
        <v>#N/A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Profil poziomy buk 2,4m</v>
      </c>
      <c r="C1035" s="185" t="e">
        <f t="shared" si="33"/>
        <v>#N/A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 t="e">
        <v>#N/A</v>
      </c>
      <c r="I1035" s="460" t="e">
        <v>#N/A</v>
      </c>
      <c r="J1035" s="460" t="e">
        <v>#N/A</v>
      </c>
      <c r="K1035" s="460" t="e">
        <v>#N/A</v>
      </c>
      <c r="L1035" s="459" t="e">
        <v>#N/A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 t="e">
        <f t="shared" si="33"/>
        <v>#N/A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 t="e">
        <v>#N/A</v>
      </c>
      <c r="I1039" s="460" t="e">
        <v>#N/A</v>
      </c>
      <c r="J1039" s="460" t="e">
        <v>#N/A</v>
      </c>
      <c r="K1039" s="460" t="e">
        <v>#N/A</v>
      </c>
      <c r="L1039" s="459" t="e">
        <v>#N/A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 t="e">
        <f t="shared" si="33"/>
        <v>#N/A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 t="e">
        <v>#N/A</v>
      </c>
      <c r="I1040" s="460" t="e">
        <v>#N/A</v>
      </c>
      <c r="J1040" s="460" t="e">
        <v>#N/A</v>
      </c>
      <c r="K1040" s="460" t="e">
        <v>#N/A</v>
      </c>
      <c r="L1040" s="459" t="e">
        <v>#N/A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/>
      </c>
      <c r="C1044" s="185" t="e">
        <f t="shared" si="33"/>
        <v>#N/A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 t="e">
        <v>#N/A</v>
      </c>
      <c r="I1044" s="460" t="e">
        <v>#N/A</v>
      </c>
      <c r="J1044" s="460" t="e">
        <v>#N/A</v>
      </c>
      <c r="K1044" s="460" t="e">
        <v>#N/A</v>
      </c>
      <c r="L1044" s="459" t="e">
        <v>#N/A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/>
      </c>
      <c r="C1045" s="185" t="e">
        <f t="shared" si="33"/>
        <v>#N/A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 t="e">
        <v>#N/A</v>
      </c>
      <c r="I1045" s="460" t="e">
        <v>#N/A</v>
      </c>
      <c r="J1045" s="460" t="e">
        <v>#N/A</v>
      </c>
      <c r="K1045" s="460" t="e">
        <v>#N/A</v>
      </c>
      <c r="L1045" s="459" t="e">
        <v>#N/A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górny profil prowadzący 2,5m, srebrny</v>
      </c>
      <c r="C1048" s="185" t="e">
        <f t="shared" si="33"/>
        <v>#N/A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 t="e">
        <v>#N/A</v>
      </c>
      <c r="I1048" s="460" t="e">
        <v>#N/A</v>
      </c>
      <c r="J1048" s="460" t="e">
        <v>#N/A</v>
      </c>
      <c r="K1048" s="460" t="e">
        <v>#N/A</v>
      </c>
      <c r="L1048" s="459" t="e">
        <v>#N/A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dolny elox 2,5m</v>
      </c>
      <c r="C1049" s="185" t="e">
        <f t="shared" si="33"/>
        <v>#N/A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 t="e">
        <v>#N/A</v>
      </c>
      <c r="I1049" s="460" t="e">
        <v>#N/A</v>
      </c>
      <c r="J1049" s="460" t="e">
        <v>#N/A</v>
      </c>
      <c r="K1049" s="460" t="e">
        <v>#N/A</v>
      </c>
      <c r="L1049" s="459" t="e">
        <v>#N/A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tłumienie do kompletu S45 przednie</v>
      </c>
      <c r="C1050" s="185" t="e">
        <f t="shared" si="33"/>
        <v>#N/A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 t="e">
        <v>#N/A</v>
      </c>
      <c r="I1050" s="460" t="e">
        <v>#N/A</v>
      </c>
      <c r="J1050" s="460" t="e">
        <v>#N/A</v>
      </c>
      <c r="K1050" s="460" t="e">
        <v>#N/A</v>
      </c>
      <c r="L1050" s="459" t="e">
        <v>#N/A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tłumienie do kompletu S45 tylne</v>
      </c>
      <c r="C1051" s="185" t="e">
        <f t="shared" si="33"/>
        <v>#N/A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 t="e">
        <v>#N/A</v>
      </c>
      <c r="I1051" s="460" t="e">
        <v>#N/A</v>
      </c>
      <c r="J1051" s="460" t="e">
        <v>#N/A</v>
      </c>
      <c r="K1051" s="460" t="e">
        <v>#N/A</v>
      </c>
      <c r="L1051" s="459" t="e">
        <v>#N/A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Oxford rączka 2,7m srebrny</v>
      </c>
      <c r="C1061" s="185" t="e">
        <f t="shared" si="33"/>
        <v>#N/A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 t="e">
        <v>#N/A</v>
      </c>
      <c r="I1061" s="460" t="e">
        <v>#N/A</v>
      </c>
      <c r="J1061" s="460" t="e">
        <v>#N/A</v>
      </c>
      <c r="K1061" s="460" t="e">
        <v>#N/A</v>
      </c>
      <c r="L1061" s="459" t="e">
        <v>#N/A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wzmocnienie 2090mm</v>
      </c>
      <c r="C1066" s="185">
        <f t="shared" si="33"/>
        <v>27.606100000000001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799</v>
      </c>
      <c r="I1066" s="460">
        <v>32.700000000000003</v>
      </c>
      <c r="J1066" s="460">
        <v>27.606100000000001</v>
      </c>
      <c r="K1066" s="460" t="e">
        <v>#N/A</v>
      </c>
      <c r="L1066" s="459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Ekonomik rączka 2,7m srebrny</v>
      </c>
      <c r="C1067" s="185" t="e">
        <f t="shared" si="33"/>
        <v>#N/A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 t="e">
        <v>#N/A</v>
      </c>
      <c r="I1067" s="460" t="e">
        <v>#N/A</v>
      </c>
      <c r="J1067" s="460" t="e">
        <v>#N/A</v>
      </c>
      <c r="K1067" s="460" t="e">
        <v>#N/A</v>
      </c>
      <c r="L1067" s="459" t="e">
        <v>#N/A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Ekonomik tor górny 2m srebrny</v>
      </c>
      <c r="C1068" s="185" t="e">
        <f t="shared" si="33"/>
        <v>#N/A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 t="e">
        <v>#N/A</v>
      </c>
      <c r="I1068" s="460" t="e">
        <v>#N/A</v>
      </c>
      <c r="J1068" s="460" t="e">
        <v>#N/A</v>
      </c>
      <c r="K1068" s="460" t="e">
        <v>#N/A</v>
      </c>
      <c r="L1068" s="459" t="e">
        <v>#N/A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Ekonomik tor górny 3m srebrny</v>
      </c>
      <c r="C1069" s="185">
        <f t="shared" si="33"/>
        <v>89.086799999999997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9825.4274700000005</v>
      </c>
      <c r="L1069" s="459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Ekonomik tor górny 6m srebrny</v>
      </c>
      <c r="C1070" s="185" t="e">
        <f t="shared" si="33"/>
        <v>#N/A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 t="e">
        <v>#N/A</v>
      </c>
      <c r="I1070" s="460" t="e">
        <v>#N/A</v>
      </c>
      <c r="J1070" s="460" t="e">
        <v>#N/A</v>
      </c>
      <c r="K1070" s="460" t="e">
        <v>#N/A</v>
      </c>
      <c r="L1070" s="459" t="e">
        <v>#N/A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Ekonomik tor dolny 2m srebrny</v>
      </c>
      <c r="C1071" s="185" t="e">
        <f t="shared" si="33"/>
        <v>#N/A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 t="e">
        <v>#N/A</v>
      </c>
      <c r="I1071" s="460" t="e">
        <v>#N/A</v>
      </c>
      <c r="J1071" s="460" t="e">
        <v>#N/A</v>
      </c>
      <c r="K1071" s="460" t="e">
        <v>#N/A</v>
      </c>
      <c r="L1071" s="459" t="e">
        <v>#N/A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Ekonomik tor dolny 3m srebrny</v>
      </c>
      <c r="C1072" s="185">
        <f t="shared" si="33"/>
        <v>49.225200000000001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5428.5237900000002</v>
      </c>
      <c r="L1072" s="459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Ekonomik tor dolny 6m srebrny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wózek górny Ekonomik Duo</v>
      </c>
      <c r="C1075" s="185">
        <f t="shared" si="33"/>
        <v>6.8120000000000003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799.60839999999996</v>
      </c>
      <c r="L1075" s="459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wózek dolny Ekonomik WD10V</v>
      </c>
      <c r="C1076" s="185">
        <f t="shared" si="33"/>
        <v>11.543100000000001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1353.18363</v>
      </c>
      <c r="L1076" s="459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blachowkręt 2,9x6,5 Ekonomik (100 szt)</v>
      </c>
      <c r="C1077" s="185">
        <f t="shared" si="33"/>
        <v>8.67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881.61941999999999</v>
      </c>
      <c r="L1077" s="459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Ekonomik zestaw okuć dla 2 drzwi</v>
      </c>
      <c r="C1078" s="185" t="e">
        <f t="shared" si="33"/>
        <v>#N/A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 t="e">
        <v>#N/A</v>
      </c>
      <c r="I1078" s="460" t="e">
        <v>#N/A</v>
      </c>
      <c r="J1078" s="460" t="e">
        <v>#N/A</v>
      </c>
      <c r="K1078" s="460" t="e">
        <v>#N/A</v>
      </c>
      <c r="L1078" s="459" t="e">
        <v>#N/A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wkręt Unix 3x10mm (1000 szt)</v>
      </c>
      <c r="C1079" s="185" t="e">
        <f t="shared" si="33"/>
        <v>#N/A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 t="e">
        <v>#N/A</v>
      </c>
      <c r="I1079" s="460" t="e">
        <v>#N/A</v>
      </c>
      <c r="J1079" s="460" t="e">
        <v>#N/A</v>
      </c>
      <c r="K1079" s="460" t="e">
        <v>#N/A</v>
      </c>
      <c r="L1079" s="459" t="e">
        <v>#N/A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wkręt Unix 3x16mm (100 szt)</v>
      </c>
      <c r="C1080" s="185" t="e">
        <f t="shared" si="33"/>
        <v>#N/A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 t="e">
        <v>#N/A</v>
      </c>
      <c r="I1080" s="460" t="e">
        <v>#N/A</v>
      </c>
      <c r="J1080" s="460" t="e">
        <v>#N/A</v>
      </c>
      <c r="K1080" s="460" t="e">
        <v>#N/A</v>
      </c>
      <c r="L1080" s="459" t="e">
        <v>#N/A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podkładka okrągła 3x6mm (100 szt)</v>
      </c>
      <c r="C1081" s="185">
        <f t="shared" si="33"/>
        <v>17.718050000000002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1983.11376</v>
      </c>
      <c r="L1081" s="459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Ekonomik zestaw okuć dla 3 drzwi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Herkules plus tor górny 3 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Pax rączka 2,7 m, czarny mat</v>
      </c>
      <c r="C1090" s="185">
        <f t="shared" si="33"/>
        <v>102.67319999999999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10356.261270000001</v>
      </c>
      <c r="L1090" s="459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Pax rączka 3m, czarny mat</v>
      </c>
      <c r="C1091" s="185" t="e">
        <f t="shared" si="33"/>
        <v>#N/A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 t="e">
        <v>#N/A</v>
      </c>
      <c r="I1091" s="460" t="e">
        <v>#N/A</v>
      </c>
      <c r="J1091" s="460" t="e">
        <v>#N/A</v>
      </c>
      <c r="K1091" s="460" t="e">
        <v>#N/A</v>
      </c>
      <c r="L1091" s="459" t="e">
        <v>#N/A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Porto rączka 3m srebrny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Porto rączka 3m jasny brąz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Maxim tor górny 1,8m jasny brąz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listwa łącząca H18 3m biały matowy</v>
      </c>
      <c r="C1096" s="185">
        <f t="shared" si="35"/>
        <v>62.464799999999997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5999.42029</v>
      </c>
      <c r="L1096" s="459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profil "U" do płyty laminowanej 18mm 3m biały matowy</v>
      </c>
      <c r="C1097" s="185">
        <f t="shared" si="35"/>
        <v>27.009599999999999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2383.7428100000002</v>
      </c>
      <c r="L1097" s="459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górna listwa alu elox 2m</v>
      </c>
      <c r="C1102" s="185" t="e">
        <f t="shared" si="35"/>
        <v>#N/A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 t="e">
        <v>#N/A</v>
      </c>
      <c r="I1102" s="460" t="e">
        <v>#N/A</v>
      </c>
      <c r="J1102" s="460" t="e">
        <v>#N/A</v>
      </c>
      <c r="K1102" s="460" t="e">
        <v>#N/A</v>
      </c>
      <c r="L1102" s="459" t="e">
        <v>#N/A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dolna listwa alu elox 2m</v>
      </c>
      <c r="C1103" s="185" t="e">
        <f t="shared" si="35"/>
        <v>#N/A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 t="e">
        <v>#N/A</v>
      </c>
      <c r="I1103" s="460" t="e">
        <v>#N/A</v>
      </c>
      <c r="J1103" s="460" t="e">
        <v>#N/A</v>
      </c>
      <c r="K1103" s="460" t="e">
        <v>#N/A</v>
      </c>
      <c r="L1103" s="459" t="e">
        <v>#N/A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do laminatu 18mm 3m srebrny</v>
      </c>
      <c r="C1104" s="185" t="e">
        <f t="shared" si="35"/>
        <v>#N/A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 t="e">
        <v>#N/A</v>
      </c>
      <c r="I1104" s="460" t="e">
        <v>#N/A</v>
      </c>
      <c r="J1104" s="460" t="e">
        <v>#N/A</v>
      </c>
      <c r="K1104" s="460" t="e">
        <v>#N/A</v>
      </c>
      <c r="L1104" s="459" t="e">
        <v>#N/A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>K-SEVROLL komplet wózków do 2 skrzydeł 18mm + szablon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- Łącznik Simple/Blue H25 3 m (16 mm) srebrny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-Łącznik Simple/Blue H25 3 m (16 mm) oliwka</v>
      </c>
      <c r="C1112" s="185" t="e">
        <f t="shared" si="35"/>
        <v>#N/A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 t="e">
        <v>#N/A</v>
      </c>
      <c r="I1112" s="460" t="e">
        <v>#N/A</v>
      </c>
      <c r="J1112" s="460" t="e">
        <v>#N/A</v>
      </c>
      <c r="K1112" s="460" t="e">
        <v>#N/A</v>
      </c>
      <c r="L1112" s="459" t="e">
        <v>#N/A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Gemini rączka 2,7m czarny mat</v>
      </c>
      <c r="C1116" s="185">
        <f t="shared" si="35"/>
        <v>102.67319999999999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9454.8458900000005</v>
      </c>
      <c r="L1116" s="459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/>
      </c>
      <c r="C1129" s="185" t="e">
        <f t="shared" si="35"/>
        <v>#N/A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 t="e">
        <v>#N/A</v>
      </c>
      <c r="I1129" s="460" t="e">
        <v>#N/A</v>
      </c>
      <c r="J1129" s="460" t="e">
        <v>#N/A</v>
      </c>
      <c r="K1129" s="460" t="e">
        <v>#N/A</v>
      </c>
      <c r="L1129" s="459" t="e">
        <v>#N/A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/>
      </c>
      <c r="C1138" s="185" t="e">
        <f t="shared" si="35"/>
        <v>#N/A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 t="e">
        <v>#N/A</v>
      </c>
      <c r="I1138" s="460" t="e">
        <v>#N/A</v>
      </c>
      <c r="J1138" s="460" t="e">
        <v>#N/A</v>
      </c>
      <c r="K1138" s="460" t="e">
        <v>#N/A</v>
      </c>
      <c r="L1138" s="459" t="e">
        <v>#N/A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/>
      </c>
      <c r="C1139" s="185" t="e">
        <f t="shared" si="35"/>
        <v>#N/A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 t="e">
        <v>#N/A</v>
      </c>
      <c r="I1139" s="460" t="e">
        <v>#N/A</v>
      </c>
      <c r="J1139" s="460" t="e">
        <v>#N/A</v>
      </c>
      <c r="K1139" s="460" t="e">
        <v>#N/A</v>
      </c>
      <c r="L1139" s="459" t="e">
        <v>#N/A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Wózek do okuć 1401 razem z płytką i wkrętami</v>
      </c>
      <c r="C1140" s="185">
        <f t="shared" si="35"/>
        <v>42.585329999999999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230.65194</v>
      </c>
      <c r="I1140" s="460">
        <v>9.6007400000000001</v>
      </c>
      <c r="J1140" s="460">
        <v>42.585329999999999</v>
      </c>
      <c r="K1140" s="460" t="e">
        <v>#N/A</v>
      </c>
      <c r="L1140" s="459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S-szczotka odbojowa niska 6,2x5 mm szary</v>
      </c>
      <c r="C1142" s="185">
        <f t="shared" si="35"/>
        <v>1.66072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8.82</v>
      </c>
      <c r="I1142" s="460">
        <v>0.37641999999999998</v>
      </c>
      <c r="J1142" s="460">
        <v>1.66072</v>
      </c>
      <c r="K1142" s="460" t="e">
        <v>#N/A</v>
      </c>
      <c r="L1142" s="459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profl maskujący 2,5m srebrny</v>
      </c>
      <c r="C1143" s="185" t="e">
        <f t="shared" si="35"/>
        <v>#N/A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 t="e">
        <v>#N/A</v>
      </c>
      <c r="I1143" s="460" t="e">
        <v>#N/A</v>
      </c>
      <c r="J1143" s="460" t="e">
        <v>#N/A</v>
      </c>
      <c r="K1143" s="460" t="e">
        <v>#N/A</v>
      </c>
      <c r="L1143" s="459" t="e">
        <v>#N/A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profl maskujący 3m srebrny</v>
      </c>
      <c r="C1144" s="185" t="e">
        <f t="shared" si="35"/>
        <v>#N/A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 t="e">
        <v>#N/A</v>
      </c>
      <c r="I1144" s="460" t="e">
        <v>#N/A</v>
      </c>
      <c r="J1144" s="460" t="e">
        <v>#N/A</v>
      </c>
      <c r="K1144" s="460" t="e">
        <v>#N/A</v>
      </c>
      <c r="L1144" s="459" t="e">
        <v>#N/A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dolny profil prowadzący 2,5m srebrny</v>
      </c>
      <c r="C1145" s="185" t="e">
        <f t="shared" si="35"/>
        <v>#N/A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 t="e">
        <v>#N/A</v>
      </c>
      <c r="I1145" s="460" t="e">
        <v>#N/A</v>
      </c>
      <c r="J1145" s="460" t="e">
        <v>#N/A</v>
      </c>
      <c r="K1145" s="460" t="e">
        <v>#N/A</v>
      </c>
      <c r="L1145" s="459" t="e">
        <v>#N/A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dolny profil prowadzący 3m srebrny</v>
      </c>
      <c r="C1146" s="185" t="e">
        <f t="shared" si="35"/>
        <v>#N/A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 t="e">
        <v>#N/A</v>
      </c>
      <c r="I1146" s="460" t="e">
        <v>#N/A</v>
      </c>
      <c r="J1146" s="460" t="e">
        <v>#N/A</v>
      </c>
      <c r="K1146" s="460" t="e">
        <v>#N/A</v>
      </c>
      <c r="L1146" s="459" t="e">
        <v>#N/A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S-hamulec do S06N/S06NN</v>
      </c>
      <c r="C1147" s="185">
        <f t="shared" si="35"/>
        <v>2.4910700000000001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13.23</v>
      </c>
      <c r="I1147" s="460">
        <v>0.56466000000000005</v>
      </c>
      <c r="J1147" s="460">
        <v>2.4910700000000001</v>
      </c>
      <c r="K1147" s="460" t="e">
        <v>#N/A</v>
      </c>
      <c r="L1147" s="459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wózek dolny</v>
      </c>
      <c r="C1148" s="185">
        <f t="shared" si="35"/>
        <v>11.071400000000001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2.50956</v>
      </c>
      <c r="J1148" s="460">
        <v>11.071400000000001</v>
      </c>
      <c r="K1148" s="460" t="e">
        <v>#N/A</v>
      </c>
      <c r="L1148" s="459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dolny elox 2m</v>
      </c>
      <c r="C1149" s="185">
        <f t="shared" si="35"/>
        <v>64.767709999999994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343.98</v>
      </c>
      <c r="I1149" s="460">
        <v>14.680949999999999</v>
      </c>
      <c r="J1149" s="460">
        <v>64.767709999999994</v>
      </c>
      <c r="K1149" s="460" t="e">
        <v>#N/A</v>
      </c>
      <c r="L1149" s="459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S-komplet S30 dolny tor</v>
      </c>
      <c r="C1150" s="185">
        <f t="shared" si="35"/>
        <v>16.883900000000001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16.883900000000001</v>
      </c>
      <c r="K1150" s="460" t="e">
        <v>#N/A</v>
      </c>
      <c r="L1150" s="459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Wzornik deseczka Blue 10 (8 szt.)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Pax XL rączka 2,7m biały polysk</v>
      </c>
      <c r="C1159" s="185" t="e">
        <f t="shared" si="37"/>
        <v>#N/A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 t="e">
        <v>#N/A</v>
      </c>
      <c r="I1159" s="460" t="e">
        <v>#N/A</v>
      </c>
      <c r="J1159" s="460" t="e">
        <v>#N/A</v>
      </c>
      <c r="K1159" s="460" t="e">
        <v>#N/A</v>
      </c>
      <c r="L1159" s="459" t="e">
        <v>#N/A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IC-Górna listwa torowa EU 10 mm 2m szampan</v>
      </c>
      <c r="C1160" s="185" t="e">
        <f t="shared" si="37"/>
        <v>#N/A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 t="e">
        <v>#N/A</v>
      </c>
      <c r="I1160" s="460" t="e">
        <v>#N/A</v>
      </c>
      <c r="J1160" s="460" t="e">
        <v>#N/A</v>
      </c>
      <c r="K1160" s="460" t="e">
        <v>#N/A</v>
      </c>
      <c r="L1160" s="459" t="e">
        <v>#N/A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IC-Dolna listwa maskująca  EU 10 mm 2m szampan</v>
      </c>
      <c r="C1161" s="185" t="e">
        <f t="shared" si="37"/>
        <v>#N/A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 t="e">
        <v>#N/A</v>
      </c>
      <c r="I1161" s="460" t="e">
        <v>#N/A</v>
      </c>
      <c r="J1161" s="460" t="e">
        <v>#N/A</v>
      </c>
      <c r="K1161" s="460" t="e">
        <v>#N/A</v>
      </c>
      <c r="L1161" s="459" t="e">
        <v>#N/A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IC-tłumienie uniwersalne EU - 2szt.</v>
      </c>
      <c r="C1162" s="185" t="e">
        <f t="shared" si="37"/>
        <v>#N/A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 t="e">
        <v>#N/A</v>
      </c>
      <c r="I1162" s="460" t="e">
        <v>#N/A</v>
      </c>
      <c r="J1162" s="460" t="e">
        <v>#N/A</v>
      </c>
      <c r="K1162" s="460" t="e">
        <v>#N/A</v>
      </c>
      <c r="L1162" s="459" t="e">
        <v>#N/A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stal nierdzewna 2,7m</v>
      </c>
      <c r="C1163" s="185" t="e">
        <f t="shared" si="37"/>
        <v>#N/A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 t="e">
        <v>#N/A</v>
      </c>
      <c r="I1163" s="460" t="e">
        <v>#N/A</v>
      </c>
      <c r="J1163" s="460" t="e">
        <v>#N/A</v>
      </c>
      <c r="K1163" s="460" t="e">
        <v>#N/A</v>
      </c>
      <c r="L1163" s="459" t="e">
        <v>#N/A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górny profil prowadzący 2,5m stal nierdzewna</v>
      </c>
      <c r="C1164" s="185">
        <f t="shared" si="37"/>
        <v>183.17242999999999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972.82500000000005</v>
      </c>
      <c r="I1164" s="460">
        <v>41.519860000000001</v>
      </c>
      <c r="J1164" s="460">
        <v>183.17242999999999</v>
      </c>
      <c r="K1164" s="460" t="e">
        <v>#N/A</v>
      </c>
      <c r="L1164" s="459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dolny profil 2,5m elox stal nierdzewna</v>
      </c>
      <c r="C1165" s="185" t="e">
        <f t="shared" si="37"/>
        <v>#N/A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 t="e">
        <v>#N/A</v>
      </c>
      <c r="I1165" s="460" t="e">
        <v>#N/A</v>
      </c>
      <c r="J1165" s="460" t="e">
        <v>#N/A</v>
      </c>
      <c r="K1165" s="460" t="e">
        <v>#N/A</v>
      </c>
      <c r="L1165" s="459" t="e">
        <v>#N/A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profl maskujący alu 2,5m stal nierdzewna</v>
      </c>
      <c r="C1166" s="185" t="e">
        <f t="shared" si="37"/>
        <v>#N/A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 t="e">
        <v>#N/A</v>
      </c>
      <c r="I1166" s="460" t="e">
        <v>#N/A</v>
      </c>
      <c r="J1166" s="460" t="e">
        <v>#N/A</v>
      </c>
      <c r="K1166" s="460" t="e">
        <v>#N/A</v>
      </c>
      <c r="L1166" s="459" t="e">
        <v>#N/A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górny i środkowy profil 2,5m stal nierdzewna</v>
      </c>
      <c r="C1167" s="185" t="e">
        <f t="shared" si="37"/>
        <v>#N/A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 t="e">
        <v>#N/A</v>
      </c>
      <c r="I1167" s="460" t="e">
        <v>#N/A</v>
      </c>
      <c r="J1167" s="460" t="e">
        <v>#N/A</v>
      </c>
      <c r="K1167" s="460" t="e">
        <v>#N/A</v>
      </c>
      <c r="L1167" s="459" t="e">
        <v>#N/A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dolny profil 4/18mm 2,5m stal nierdzewna</v>
      </c>
      <c r="C1168" s="185" t="e">
        <f t="shared" si="37"/>
        <v>#N/A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 t="e">
        <v>#N/A</v>
      </c>
      <c r="I1168" s="460" t="e">
        <v>#N/A</v>
      </c>
      <c r="J1168" s="460" t="e">
        <v>#N/A</v>
      </c>
      <c r="K1168" s="460" t="e">
        <v>#N/A</v>
      </c>
      <c r="L1168" s="459" t="e">
        <v>#N/A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Gemini tor górny 1,7 m biały matowy</v>
      </c>
      <c r="C1169" s="185">
        <f t="shared" si="37"/>
        <v>74.653800000000004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7081.1186600000001</v>
      </c>
      <c r="L1169" s="459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Gemini tor górny 2,35 m biały matowy</v>
      </c>
      <c r="C1170" s="185">
        <f t="shared" si="37"/>
        <v>103.20359999999999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9795.3803599999992</v>
      </c>
      <c r="L1170" s="459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Gemini tor górny 4,05 m biały matowy</v>
      </c>
      <c r="C1171" s="185">
        <f t="shared" si="37"/>
        <v>177.9186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16876.499019999999</v>
      </c>
      <c r="L1171" s="459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Gemini tor górny 6m biały matowy</v>
      </c>
      <c r="C1172" s="185">
        <f t="shared" si="37"/>
        <v>0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0</v>
      </c>
      <c r="K1172" s="460">
        <v>24999.252980000001</v>
      </c>
      <c r="L1172" s="459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kątownik Mini 17x11 mm 1,7 m biały matowy</v>
      </c>
      <c r="C1173" s="185">
        <f t="shared" si="37"/>
        <v>12.2094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1221.9187199999999</v>
      </c>
      <c r="L1173" s="459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kątownik Mini 17x11mm 2,35 m biały matowy</v>
      </c>
      <c r="C1174" s="185">
        <f t="shared" si="37"/>
        <v>16.901399999999999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1692.6579200000001</v>
      </c>
      <c r="L1174" s="459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zaślepka do toru Elegant II 6m biały mat</v>
      </c>
      <c r="C1175" s="185">
        <f t="shared" si="37"/>
        <v>0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0</v>
      </c>
      <c r="K1175" s="460">
        <v>4527.1084300000002</v>
      </c>
      <c r="L1175" s="459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zaślepka do toru Elegant II 1,7m biały matowy</v>
      </c>
      <c r="C1176" s="185">
        <f t="shared" si="37"/>
        <v>12.199199999999999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1282.0129099999999</v>
      </c>
      <c r="L1176" s="459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Eden tor górny 2,35m srebrny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Eden tor górny 2,35m srebrny</v>
      </c>
      <c r="C1179" s="185" t="e">
        <f t="shared" si="37"/>
        <v>#N/A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 t="e">
        <v>#N/A</v>
      </c>
      <c r="I1179" s="460" t="e">
        <v>#N/A</v>
      </c>
      <c r="J1179" s="460" t="e">
        <v>#N/A</v>
      </c>
      <c r="K1179" s="460" t="e">
        <v>#N/A</v>
      </c>
      <c r="L1179" s="459" t="e">
        <v>#N/A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Eden tor górny 2,35m srebrny</v>
      </c>
      <c r="C1180" s="185" t="e">
        <f t="shared" si="37"/>
        <v>#N/A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 t="e">
        <v>#N/A</v>
      </c>
      <c r="I1180" s="460" t="e">
        <v>#N/A</v>
      </c>
      <c r="J1180" s="460" t="e">
        <v>#N/A</v>
      </c>
      <c r="K1180" s="460" t="e">
        <v>#N/A</v>
      </c>
      <c r="L1180" s="459" t="e">
        <v>#N/A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Eden zestaw okuć dla 2 drzwi</v>
      </c>
      <c r="C1181" s="185" t="e">
        <f t="shared" si="37"/>
        <v>#N/A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 t="e">
        <v>#N/A</v>
      </c>
      <c r="I1181" s="460" t="e">
        <v>#N/A</v>
      </c>
      <c r="J1181" s="460" t="e">
        <v>#N/A</v>
      </c>
      <c r="K1181" s="460" t="e">
        <v>#N/A</v>
      </c>
      <c r="L1181" s="459" t="e">
        <v>#N/A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Eden zestaw okuć dla 2 drzwi</v>
      </c>
      <c r="C1182" s="185" t="e">
        <f t="shared" si="37"/>
        <v>#N/A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 t="e">
        <v>#N/A</v>
      </c>
      <c r="I1182" s="460" t="e">
        <v>#N/A</v>
      </c>
      <c r="J1182" s="460" t="e">
        <v>#N/A</v>
      </c>
      <c r="K1182" s="460" t="e">
        <v>#N/A</v>
      </c>
      <c r="L1182" s="459" t="e">
        <v>#N/A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zaślepka do toru Elegant II 2,35m biały matowy</v>
      </c>
      <c r="C1183" s="185">
        <f t="shared" si="37"/>
        <v>16.870799999999999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1772.7836600000001</v>
      </c>
      <c r="L1183" s="459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zaślepka do toru Elegant II 3m biały matowy</v>
      </c>
      <c r="C1184" s="185">
        <f t="shared" si="37"/>
        <v>21.542400000000001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2263.5540099999998</v>
      </c>
      <c r="L1184" s="459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zaślepka do toru Elegant II 4,05m biały matowy</v>
      </c>
      <c r="C1185" s="185">
        <f t="shared" si="37"/>
        <v>29.07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3054.79655</v>
      </c>
      <c r="L1185" s="459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Alfa II rączka 18mm 2,7m czarny połysk</v>
      </c>
      <c r="C1186" s="185">
        <f t="shared" si="37"/>
        <v>66.463200000000001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6329.9391800000003</v>
      </c>
      <c r="L1186" s="459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Fox II rączka 2,7m czarny połysk</v>
      </c>
      <c r="C1187" s="185">
        <f t="shared" si="37"/>
        <v>80.416799999999995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8313.0529399999996</v>
      </c>
      <c r="L1187" s="459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listwa łącząca H10 3m czarny połysk</v>
      </c>
      <c r="C1188" s="185">
        <f t="shared" si="37"/>
        <v>67.289400000000001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6089.5615900000003</v>
      </c>
      <c r="L1188" s="459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tor dolny 1,8m jasny brąz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zaślepka do toru 1,8m jasny brąz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zestaw Fold do 2 skrzydeł lewy</v>
      </c>
      <c r="C1195" s="185" t="e">
        <f t="shared" si="37"/>
        <v>#N/A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 t="e">
        <v>#N/A</v>
      </c>
      <c r="I1195" s="460" t="e">
        <v>#N/A</v>
      </c>
      <c r="J1195" s="460" t="e">
        <v>#N/A</v>
      </c>
      <c r="K1195" s="460" t="e">
        <v>#N/A</v>
      </c>
      <c r="L1195" s="459" t="e">
        <v>#N/A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zestaw Fold do 2 skrzydeł prawy</v>
      </c>
      <c r="C1196" s="185" t="e">
        <f t="shared" si="37"/>
        <v>#N/A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 t="e">
        <v>#N/A</v>
      </c>
      <c r="I1196" s="460" t="e">
        <v>#N/A</v>
      </c>
      <c r="J1196" s="460" t="e">
        <v>#N/A</v>
      </c>
      <c r="K1196" s="460" t="e">
        <v>#N/A</v>
      </c>
      <c r="L1196" s="459" t="e">
        <v>#N/A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zaślepka do toru Elegant II 3m, biała matowa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/>
      </c>
      <c r="C1200" s="185" t="e">
        <f t="shared" si="37"/>
        <v>#N/A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 t="e">
        <v>#N/A</v>
      </c>
      <c r="I1200" s="460" t="e">
        <v>#N/A</v>
      </c>
      <c r="J1200" s="460" t="e">
        <v>#N/A</v>
      </c>
      <c r="K1200" s="460" t="e">
        <v>#N/A</v>
      </c>
      <c r="L1200" s="459" t="e">
        <v>#N/A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/>
      </c>
      <c r="C1201" s="185" t="e">
        <f t="shared" si="37"/>
        <v>#N/A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 t="e">
        <v>#N/A</v>
      </c>
      <c r="I1201" s="460" t="e">
        <v>#N/A</v>
      </c>
      <c r="J1201" s="460" t="e">
        <v>#N/A</v>
      </c>
      <c r="K1201" s="460" t="e">
        <v>#N/A</v>
      </c>
      <c r="L1201" s="459" t="e">
        <v>#N/A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IC-tor górny EU 2m szampan</v>
      </c>
      <c r="C1202" s="185" t="e">
        <f t="shared" si="37"/>
        <v>#N/A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 t="e">
        <v>#N/A</v>
      </c>
      <c r="I1202" s="460" t="e">
        <v>#N/A</v>
      </c>
      <c r="J1202" s="460" t="e">
        <v>#N/A</v>
      </c>
      <c r="K1202" s="460" t="e">
        <v>#N/A</v>
      </c>
      <c r="L1202" s="459" t="e">
        <v>#N/A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 tor dolny EU 2m szampan</v>
      </c>
      <c r="C1203" s="185" t="e">
        <f t="shared" si="37"/>
        <v>#N/A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 t="e">
        <v>#N/A</v>
      </c>
      <c r="I1203" s="460" t="e">
        <v>#N/A</v>
      </c>
      <c r="J1203" s="460" t="e">
        <v>#N/A</v>
      </c>
      <c r="K1203" s="460" t="e">
        <v>#N/A</v>
      </c>
      <c r="L1203" s="459" t="e">
        <v>#N/A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IC-tor górny EU 10mm 4m szampan</v>
      </c>
      <c r="C1204" s="185" t="e">
        <f t="shared" si="37"/>
        <v>#N/A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 t="e">
        <v>#N/A</v>
      </c>
      <c r="I1204" s="460" t="e">
        <v>#N/A</v>
      </c>
      <c r="J1204" s="460" t="e">
        <v>#N/A</v>
      </c>
      <c r="K1204" s="460" t="e">
        <v>#N/A</v>
      </c>
      <c r="L1204" s="459" t="e">
        <v>#N/A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IC-tor maskujący dolny  EU 10mm 4m szamp</v>
      </c>
      <c r="C1205" s="185" t="e">
        <f t="shared" si="37"/>
        <v>#N/A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 t="e">
        <v>#N/A</v>
      </c>
      <c r="I1205" s="460" t="e">
        <v>#N/A</v>
      </c>
      <c r="J1205" s="460" t="e">
        <v>#N/A</v>
      </c>
      <c r="K1205" s="460" t="e">
        <v>#N/A</v>
      </c>
      <c r="L1205" s="459" t="e">
        <v>#N/A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Zestaw okuć ZSE-18 PLUS Prince</v>
      </c>
      <c r="C1211" s="185" t="e">
        <f t="shared" si="37"/>
        <v>#N/A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 t="e">
        <v>#N/A</v>
      </c>
      <c r="I1211" s="460" t="e">
        <v>#N/A</v>
      </c>
      <c r="J1211" s="460" t="e">
        <v>#N/A</v>
      </c>
      <c r="K1211" s="460" t="e">
        <v>#N/A</v>
      </c>
      <c r="L1211" s="459" t="e">
        <v>#N/A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rączka 2,7 m, czarna matowa</v>
      </c>
      <c r="C1212" s="185">
        <f t="shared" si="37"/>
        <v>60.088200000000001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6299.8920699999999</v>
      </c>
      <c r="L1212" s="459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listwa łącząca H30 3m czarny mat</v>
      </c>
      <c r="C1213" s="185">
        <f t="shared" si="37"/>
        <v>102.1734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11267.692220000001</v>
      </c>
      <c r="L1213" s="459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teownik 04 3m czarny mat</v>
      </c>
      <c r="C1214" s="185">
        <f t="shared" si="37"/>
        <v>16.289400000000001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1792.81519</v>
      </c>
      <c r="L1214" s="459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listwa pozioma górna 2,35m czarny mat</v>
      </c>
      <c r="C1215" s="185">
        <f t="shared" si="37"/>
        <v>82.936199999999999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5588.7752499999997</v>
      </c>
      <c r="L1215" s="459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listwa pozioma górna 3m czarny mat</v>
      </c>
      <c r="C1216" s="185">
        <f t="shared" si="37"/>
        <v>105.8454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7131.1972999999998</v>
      </c>
      <c r="L1216" s="459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Pax tor dolny 3m czarny mat</v>
      </c>
      <c r="C1217" s="185">
        <f t="shared" si="37"/>
        <v>112.2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11297.73933</v>
      </c>
      <c r="L1217" s="459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tor górny 6m czarny mat</v>
      </c>
      <c r="C1218" s="185">
        <f t="shared" si="37"/>
        <v>0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0</v>
      </c>
      <c r="K1218" s="460">
        <v>24999.252980000001</v>
      </c>
      <c r="L1218" s="459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tor dolny 6m czarny mat</v>
      </c>
      <c r="C1219" s="185">
        <f t="shared" si="37"/>
        <v>0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0</v>
      </c>
      <c r="K1219" s="460">
        <v>14592.91346</v>
      </c>
      <c r="L1219" s="459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zaślepka do toru Elegant II 1,7m czarny mat</v>
      </c>
      <c r="C1220" s="185">
        <f t="shared" ref="C1220:C1283" si="39">IF($A$2=1,H1220,IF($A$2=2,I1220,IF($A$2=3,J1220,IF($A$2=4,K1220,IF($A$2&gt;4,O1220,"zadat jazyk")))))</f>
        <v>12.199199999999999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1282.0129099999999</v>
      </c>
      <c r="L1220" s="459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maskownica do toru Elegant II 6m czarny mat</v>
      </c>
      <c r="C1221" s="185">
        <f t="shared" si="39"/>
        <v>0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0</v>
      </c>
      <c r="K1221" s="460">
        <v>4527.1084300000002</v>
      </c>
      <c r="L1221" s="459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listwa łącząca H10 3m czarny mat</v>
      </c>
      <c r="C1222" s="185">
        <f t="shared" si="39"/>
        <v>67.289400000000001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6089.5615900000003</v>
      </c>
      <c r="L1222" s="459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górny profil prowadzący 4m srebrny</v>
      </c>
      <c r="C1223" s="185" t="e">
        <f t="shared" si="39"/>
        <v>#N/A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 t="e">
        <v>#N/A</v>
      </c>
      <c r="I1223" s="460" t="e">
        <v>#N/A</v>
      </c>
      <c r="J1223" s="460" t="e">
        <v>#N/A</v>
      </c>
      <c r="K1223" s="460" t="e">
        <v>#N/A</v>
      </c>
      <c r="L1223" s="459" t="e">
        <v>#N/A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S-komplet okuć S45 przednie drzwi</v>
      </c>
      <c r="C1224" s="185">
        <f t="shared" si="39"/>
        <v>103.24084000000001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548.30999999999995</v>
      </c>
      <c r="I1224" s="460">
        <v>23.401689999999999</v>
      </c>
      <c r="J1224" s="460">
        <v>103.24084000000001</v>
      </c>
      <c r="K1224" s="460" t="e">
        <v>#N/A</v>
      </c>
      <c r="L1224" s="459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S-komplet okuć S45 tylne drzwi</v>
      </c>
      <c r="C1225" s="185">
        <f t="shared" si="39"/>
        <v>72.24091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383.67</v>
      </c>
      <c r="I1225" s="460">
        <v>16.374919999999999</v>
      </c>
      <c r="J1225" s="460">
        <v>72.24091</v>
      </c>
      <c r="K1225" s="460" t="e">
        <v>#N/A</v>
      </c>
      <c r="L1225" s="459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tłumienie do kompletu S45 przednie</v>
      </c>
      <c r="C1226" s="185" t="e">
        <f t="shared" si="39"/>
        <v>#N/A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 t="e">
        <v>#N/A</v>
      </c>
      <c r="I1226" s="460" t="e">
        <v>#N/A</v>
      </c>
      <c r="J1226" s="460" t="e">
        <v>#N/A</v>
      </c>
      <c r="K1226" s="460" t="e">
        <v>#N/A</v>
      </c>
      <c r="L1226" s="459" t="e">
        <v>#N/A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tłumienie do kompletu S45 tylne</v>
      </c>
      <c r="C1227" s="185" t="e">
        <f t="shared" si="39"/>
        <v>#N/A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 t="e">
        <v>#N/A</v>
      </c>
      <c r="I1227" s="460" t="e">
        <v>#N/A</v>
      </c>
      <c r="J1227" s="460" t="e">
        <v>#N/A</v>
      </c>
      <c r="K1227" s="460" t="e">
        <v>#N/A</v>
      </c>
      <c r="L1227" s="459" t="e">
        <v>#N/A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zestaw Big 2 m bez tłumienia, 40-45 mm</v>
      </c>
      <c r="C1240" s="185">
        <f t="shared" si="39"/>
        <v>0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0</v>
      </c>
      <c r="I1240" s="460">
        <v>0</v>
      </c>
      <c r="J1240" s="460">
        <v>0</v>
      </c>
      <c r="K1240" s="460" t="e">
        <v>#N/A</v>
      </c>
      <c r="L1240" s="459" t="s">
        <v>538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zestaw Big 2 m z tłumieniem, 40-45 mm</v>
      </c>
      <c r="C1241" s="185">
        <f t="shared" si="39"/>
        <v>0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0</v>
      </c>
      <c r="I1241" s="460">
        <v>0</v>
      </c>
      <c r="J1241" s="460">
        <v>0</v>
      </c>
      <c r="K1241" s="460" t="e">
        <v>#N/A</v>
      </c>
      <c r="L1241" s="459" t="s">
        <v>538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zestaw Big 3 m bez tłumienia, 40-45 mm</v>
      </c>
      <c r="C1242" s="185">
        <f t="shared" si="39"/>
        <v>0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0</v>
      </c>
      <c r="I1242" s="460">
        <v>0</v>
      </c>
      <c r="J1242" s="460">
        <v>0</v>
      </c>
      <c r="K1242" s="460" t="e">
        <v>#N/A</v>
      </c>
      <c r="L1242" s="459" t="s">
        <v>538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zestaw Big 3 m z tłumieniem, 40-45 mm</v>
      </c>
      <c r="C1243" s="185">
        <f t="shared" si="39"/>
        <v>0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0</v>
      </c>
      <c r="I1243" s="460">
        <v>0</v>
      </c>
      <c r="J1243" s="460">
        <v>0</v>
      </c>
      <c r="K1243" s="460" t="e">
        <v>#N/A</v>
      </c>
      <c r="L1243" s="459" t="s">
        <v>538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zestaw Simple 2 m bez tłumienia, 40-45 mm</v>
      </c>
      <c r="C1244" s="185">
        <f t="shared" si="39"/>
        <v>0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0</v>
      </c>
      <c r="I1244" s="460">
        <v>0</v>
      </c>
      <c r="J1244" s="460">
        <v>0</v>
      </c>
      <c r="K1244" s="460" t="e">
        <v>#N/A</v>
      </c>
      <c r="L1244" s="459" t="s">
        <v>538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zestaw Simple 2 m z tłumieniem, 40-45 mm</v>
      </c>
      <c r="C1245" s="185">
        <f t="shared" si="39"/>
        <v>0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0</v>
      </c>
      <c r="I1245" s="460">
        <v>0</v>
      </c>
      <c r="J1245" s="460">
        <v>0</v>
      </c>
      <c r="K1245" s="460" t="e">
        <v>#N/A</v>
      </c>
      <c r="L1245" s="459" t="s">
        <v>538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zestaw Simple 3 m bez tłumienia, 40-45 mm</v>
      </c>
      <c r="C1246" s="185">
        <f t="shared" si="39"/>
        <v>0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0</v>
      </c>
      <c r="I1246" s="460">
        <v>0</v>
      </c>
      <c r="J1246" s="460">
        <v>0</v>
      </c>
      <c r="K1246" s="460" t="e">
        <v>#N/A</v>
      </c>
      <c r="L1246" s="459" t="s">
        <v>538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zestaw Simple 3 m z tłumieniem, 40-45 mm</v>
      </c>
      <c r="C1247" s="185">
        <f t="shared" si="39"/>
        <v>0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0</v>
      </c>
      <c r="I1247" s="460">
        <v>0</v>
      </c>
      <c r="J1247" s="460">
        <v>0</v>
      </c>
      <c r="K1247" s="460" t="e">
        <v>#N/A</v>
      </c>
      <c r="L1247" s="459" t="s">
        <v>538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zestaw Square 2 m bez tłumienia, 40-45 mm</v>
      </c>
      <c r="C1248" s="185">
        <f t="shared" si="39"/>
        <v>0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0</v>
      </c>
      <c r="I1248" s="460">
        <v>0</v>
      </c>
      <c r="J1248" s="460">
        <v>0</v>
      </c>
      <c r="K1248" s="460" t="e">
        <v>#N/A</v>
      </c>
      <c r="L1248" s="459" t="s">
        <v>538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zestaw Square 2 m z tłumieniem, 40-45 mm</v>
      </c>
      <c r="C1249" s="185">
        <f t="shared" si="39"/>
        <v>0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0</v>
      </c>
      <c r="I1249" s="460">
        <v>0</v>
      </c>
      <c r="J1249" s="460">
        <v>0</v>
      </c>
      <c r="K1249" s="460" t="e">
        <v>#N/A</v>
      </c>
      <c r="L1249" s="459" t="s">
        <v>538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zestaw Square 3 m bez tłumienia, 40-45 mm</v>
      </c>
      <c r="C1250" s="185">
        <f t="shared" si="39"/>
        <v>0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0</v>
      </c>
      <c r="I1250" s="460">
        <v>0</v>
      </c>
      <c r="J1250" s="460">
        <v>0</v>
      </c>
      <c r="K1250" s="460" t="e">
        <v>#N/A</v>
      </c>
      <c r="L1250" s="459" t="s">
        <v>538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zestaw Square 3 m z tłumieniem, 40-45 mm</v>
      </c>
      <c r="C1251" s="185">
        <f t="shared" si="39"/>
        <v>0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0</v>
      </c>
      <c r="I1251" s="460">
        <v>0</v>
      </c>
      <c r="J1251" s="460">
        <v>0</v>
      </c>
      <c r="K1251" s="460" t="e">
        <v>#N/A</v>
      </c>
      <c r="L1251" s="459" t="s">
        <v>538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Okucia wewnętrzne przesuwne 1399 40kg 2x amortyzator</v>
      </c>
      <c r="C1252" s="185">
        <f t="shared" si="39"/>
        <v>158.80853999999999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860.14351999999997</v>
      </c>
      <c r="I1252" s="460">
        <v>35.80292</v>
      </c>
      <c r="J1252" s="460">
        <v>158.80853999999999</v>
      </c>
      <c r="K1252" s="460" t="e">
        <v>#N/A</v>
      </c>
      <c r="L1252" s="459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Okucie do drzwi przesuwnych do wnętrz 1399/155 40kg  2x tłumienie</v>
      </c>
      <c r="C1253" s="185">
        <f t="shared" si="39"/>
        <v>295.72973999999999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1601.7402400000001</v>
      </c>
      <c r="I1253" s="460">
        <v>66.671390000000002</v>
      </c>
      <c r="J1253" s="460">
        <v>295.72973999999999</v>
      </c>
      <c r="K1253" s="460" t="e">
        <v>#N/A</v>
      </c>
      <c r="L1253" s="459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Maxim tor górny 1,8m srebrny</v>
      </c>
      <c r="C1254" s="185" t="e">
        <f t="shared" si="39"/>
        <v>#N/A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 t="e">
        <v>#N/A</v>
      </c>
      <c r="I1254" s="460" t="e">
        <v>#N/A</v>
      </c>
      <c r="J1254" s="460" t="e">
        <v>#N/A</v>
      </c>
      <c r="K1254" s="460" t="e">
        <v>#N/A</v>
      </c>
      <c r="L1254" s="459" t="e">
        <v>#N/A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Maxim maskownica dolna 1,8m 18mm srebrny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Okucie do drzwi przesuwnych do wnętrz 1399/190 40kg  2x tłumienie</v>
      </c>
      <c r="C1256" s="185">
        <f t="shared" si="39"/>
        <v>317.77584999999999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71.641630000000006</v>
      </c>
      <c r="J1256" s="460">
        <v>317.77584999999999</v>
      </c>
      <c r="K1256" s="460" t="e">
        <v>#N/A</v>
      </c>
      <c r="L1256" s="459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Okucie do drzwi przesuwnych do wnętrz 1399/230 40kg  2x tłumienie</v>
      </c>
      <c r="C1257" s="185">
        <f t="shared" si="39"/>
        <v>348.43383999999998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78.065079999999995</v>
      </c>
      <c r="J1257" s="460">
        <v>348.43383999999998</v>
      </c>
      <c r="K1257" s="460" t="e">
        <v>#N/A</v>
      </c>
      <c r="L1257" s="459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Okucie do drzwi przesuwnych do wnętrz 1399/280 40kg 2x tłumienie</v>
      </c>
      <c r="C1258" s="185">
        <f t="shared" si="39"/>
        <v>385.35800999999998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 t="e">
        <v>#N/A</v>
      </c>
      <c r="L1258" s="459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Okucie do drzwi przesuwnych do wnętrz 1399/330 40kg 2x tłumienie</v>
      </c>
      <c r="C1259" s="185">
        <f t="shared" si="39"/>
        <v>422.88929999999999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 t="e">
        <v>#N/A</v>
      </c>
      <c r="L1259" s="459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 t="e">
        <f t="shared" si="39"/>
        <v>#N/A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 t="e">
        <v>#N/A</v>
      </c>
      <c r="I1260" s="460" t="e">
        <v>#N/A</v>
      </c>
      <c r="J1260" s="460" t="e">
        <v>#N/A</v>
      </c>
      <c r="K1260" s="460" t="e">
        <v>#N/A</v>
      </c>
      <c r="L1260" s="459" t="e">
        <v>#N/A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Harmony zestaw okuć dla 2 drzwi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kątownik Mini 17x11mm 4,05m srebrny</v>
      </c>
      <c r="C1262" s="185" t="e">
        <f t="shared" si="39"/>
        <v>#N/A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 t="e">
        <v>#N/A</v>
      </c>
      <c r="I1262" s="460" t="e">
        <v>#N/A</v>
      </c>
      <c r="J1262" s="460" t="e">
        <v>#N/A</v>
      </c>
      <c r="K1262" s="460" t="e">
        <v>#N/A</v>
      </c>
      <c r="L1262" s="459" t="e">
        <v>#N/A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/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/>
      </c>
      <c r="C1264" s="185">
        <f t="shared" si="39"/>
        <v>1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11</v>
      </c>
      <c r="L1264" s="459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Micra V komplet okuć dla 1 skrzydła</v>
      </c>
      <c r="C1265" s="185">
        <f t="shared" si="39"/>
        <v>25.214400000000001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2443.8374100000001</v>
      </c>
      <c r="L1265" s="459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/>
      </c>
      <c r="C1270" s="185" t="e">
        <f t="shared" si="39"/>
        <v>#N/A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 t="e">
        <v>#N/A</v>
      </c>
      <c r="I1270" s="460" t="e">
        <v>#N/A</v>
      </c>
      <c r="J1270" s="460" t="e">
        <v>#N/A</v>
      </c>
      <c r="K1270" s="460" t="e">
        <v>#N/A</v>
      </c>
      <c r="L1270" s="459" t="e">
        <v>#N/A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/>
      </c>
      <c r="C1271" s="185" t="e">
        <f t="shared" si="39"/>
        <v>#N/A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 t="e">
        <v>#N/A</v>
      </c>
      <c r="I1271" s="460" t="e">
        <v>#N/A</v>
      </c>
      <c r="J1271" s="460" t="e">
        <v>#N/A</v>
      </c>
      <c r="K1271" s="460" t="e">
        <v>#N/A</v>
      </c>
      <c r="L1271" s="459" t="e">
        <v>#N/A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/>
      </c>
      <c r="C1272" s="185" t="e">
        <f t="shared" si="39"/>
        <v>#N/A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 t="e">
        <v>#N/A</v>
      </c>
      <c r="I1272" s="460" t="e">
        <v>#N/A</v>
      </c>
      <c r="J1272" s="460" t="e">
        <v>#N/A</v>
      </c>
      <c r="K1272" s="460" t="e">
        <v>#N/A</v>
      </c>
      <c r="L1272" s="459" t="e">
        <v>#N/A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/>
      </c>
      <c r="C1273" s="185" t="e">
        <f t="shared" si="39"/>
        <v>#N/A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 t="e">
        <v>#N/A</v>
      </c>
      <c r="I1273" s="460" t="e">
        <v>#N/A</v>
      </c>
      <c r="J1273" s="460" t="e">
        <v>#N/A</v>
      </c>
      <c r="K1273" s="460" t="e">
        <v>#N/A</v>
      </c>
      <c r="L1273" s="459" t="e">
        <v>#N/A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/>
      </c>
      <c r="C1274" s="185" t="e">
        <f t="shared" si="39"/>
        <v>#N/A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 t="e">
        <v>#N/A</v>
      </c>
      <c r="I1274" s="460" t="e">
        <v>#N/A</v>
      </c>
      <c r="J1274" s="460" t="e">
        <v>#N/A</v>
      </c>
      <c r="K1274" s="460" t="e">
        <v>#N/A</v>
      </c>
      <c r="L1274" s="459" t="e">
        <v>#N/A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śruba łącząca do drzwi 30-40 mm</v>
      </c>
      <c r="C1275" s="185">
        <f t="shared" si="39"/>
        <v>3.3393299999999999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 t="e">
        <v>#N/A</v>
      </c>
      <c r="L1275" s="459" t="s">
        <v>538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śruba łącząca do drzwi 40-45 mm</v>
      </c>
      <c r="C1276" s="185">
        <f t="shared" si="39"/>
        <v>2.9540299999999999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 t="e">
        <v>#N/A</v>
      </c>
      <c r="L1276" s="459" t="s">
        <v>538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Zamek ze wskaźnikiem zajęte/wolne do płyty laminowanej 18 mm</v>
      </c>
      <c r="C1278" s="185">
        <f t="shared" si="39"/>
        <v>61.919499999999999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316.04831999999999</v>
      </c>
      <c r="I1278" s="460">
        <v>15.153600000000001</v>
      </c>
      <c r="J1278" s="460">
        <v>61.919499999999999</v>
      </c>
      <c r="K1278" s="460" t="e">
        <v>#N/A</v>
      </c>
      <c r="L1278" s="459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Nóżka regulowana VS-U uniwersalna 18 mm</v>
      </c>
      <c r="C1279" s="185">
        <f t="shared" si="39"/>
        <v>0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0</v>
      </c>
      <c r="I1279" s="460">
        <v>0</v>
      </c>
      <c r="J1279" s="460">
        <v>0</v>
      </c>
      <c r="K1279" s="460" t="e">
        <v>#N/A</v>
      </c>
      <c r="L1279" s="459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boczny 18 mm, długość  2 m</v>
      </c>
      <c r="C1280" s="185">
        <f t="shared" si="39"/>
        <v>65.176649999999995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65.176649999999995</v>
      </c>
      <c r="K1280" s="460" t="e">
        <v>#N/A</v>
      </c>
      <c r="L1280" s="459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13 mm, długość  2 m</v>
      </c>
      <c r="C1281" s="185">
        <f t="shared" si="39"/>
        <v>66.134349999999998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66.134349999999998</v>
      </c>
      <c r="K1281" s="460" t="e">
        <v>#N/A</v>
      </c>
      <c r="L1281" s="459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25 mm, długość  2 m</v>
      </c>
      <c r="C1282" s="185">
        <f t="shared" si="39"/>
        <v>65.650660000000002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65.650660000000002</v>
      </c>
      <c r="K1282" s="460" t="e">
        <v>#N/A</v>
      </c>
      <c r="L1282" s="459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81.098039999999997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430.71</v>
      </c>
      <c r="I1283" s="460">
        <v>18.382560000000002</v>
      </c>
      <c r="J1283" s="460">
        <v>81.098039999999997</v>
      </c>
      <c r="K1283" s="460" t="e">
        <v>#N/A</v>
      </c>
      <c r="L1283" s="459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S-komplet okuć S80</v>
      </c>
      <c r="C1284" s="185" t="e">
        <f t="shared" ref="C1284:C1347" si="41">IF($A$2=1,H1284,IF($A$2=2,I1284,IF($A$2=3,J1284,IF($A$2=4,K1284,IF($A$2&gt;4,O1284,"zadat jazyk")))))</f>
        <v>#N/A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 t="e">
        <v>#N/A</v>
      </c>
      <c r="I1284" s="460" t="e">
        <v>#N/A</v>
      </c>
      <c r="J1284" s="460" t="e">
        <v>#N/A</v>
      </c>
      <c r="K1284" s="460" t="e">
        <v>#N/A</v>
      </c>
      <c r="L1284" s="459" t="e">
        <v>#N/A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górna listwa alu 2m</v>
      </c>
      <c r="C1285" s="185" t="e">
        <f t="shared" si="41"/>
        <v>#N/A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 t="e">
        <v>#N/A</v>
      </c>
      <c r="I1285" s="460" t="e">
        <v>#N/A</v>
      </c>
      <c r="J1285" s="460" t="e">
        <v>#N/A</v>
      </c>
      <c r="K1285" s="460" t="e">
        <v>#N/A</v>
      </c>
      <c r="L1285" s="459" t="e">
        <v>#N/A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 S1 1200-1399 mm</v>
      </c>
      <c r="C1286" s="185" t="e">
        <f t="shared" si="41"/>
        <v>#N/A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 t="e">
        <v>#N/A</v>
      </c>
      <c r="I1286" s="460" t="e">
        <v>#N/A</v>
      </c>
      <c r="J1286" s="460" t="e">
        <v>#N/A</v>
      </c>
      <c r="K1286" s="460" t="e">
        <v>#N/A</v>
      </c>
      <c r="L1286" s="459" t="e">
        <v>#N/A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 S2 1400-1599 mm</v>
      </c>
      <c r="C1287" s="185" t="e">
        <f t="shared" si="41"/>
        <v>#N/A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 t="e">
        <v>#N/A</v>
      </c>
      <c r="I1287" s="460" t="e">
        <v>#N/A</v>
      </c>
      <c r="J1287" s="460" t="e">
        <v>#N/A</v>
      </c>
      <c r="K1287" s="460" t="e">
        <v>#N/A</v>
      </c>
      <c r="L1287" s="459" t="e">
        <v>#N/A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 S3 1600-1799 mm</v>
      </c>
      <c r="C1288" s="185" t="e">
        <f t="shared" si="41"/>
        <v>#N/A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 t="e">
        <v>#N/A</v>
      </c>
      <c r="I1288" s="460" t="e">
        <v>#N/A</v>
      </c>
      <c r="J1288" s="460" t="e">
        <v>#N/A</v>
      </c>
      <c r="K1288" s="460" t="e">
        <v>#N/A</v>
      </c>
      <c r="L1288" s="459" t="e">
        <v>#N/A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 S4 1800-1999 mm</v>
      </c>
      <c r="C1289" s="185" t="e">
        <f t="shared" si="41"/>
        <v>#N/A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 t="e">
        <v>#N/A</v>
      </c>
      <c r="I1289" s="460" t="e">
        <v>#N/A</v>
      </c>
      <c r="J1289" s="460" t="e">
        <v>#N/A</v>
      </c>
      <c r="K1289" s="460" t="e">
        <v>#N/A</v>
      </c>
      <c r="L1289" s="459" t="e">
        <v>#N/A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 S5 2000-2199 mm</v>
      </c>
      <c r="C1290" s="185" t="e">
        <f t="shared" si="41"/>
        <v>#N/A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 t="e">
        <v>#N/A</v>
      </c>
      <c r="I1290" s="460" t="e">
        <v>#N/A</v>
      </c>
      <c r="J1290" s="460" t="e">
        <v>#N/A</v>
      </c>
      <c r="K1290" s="460" t="e">
        <v>#N/A</v>
      </c>
      <c r="L1290" s="459" t="e">
        <v>#N/A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 S6 2200-2400 mm</v>
      </c>
      <c r="C1291" s="185" t="e">
        <f t="shared" si="41"/>
        <v>#N/A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 t="e">
        <v>#N/A</v>
      </c>
      <c r="I1291" s="460" t="e">
        <v>#N/A</v>
      </c>
      <c r="J1291" s="460" t="e">
        <v>#N/A</v>
      </c>
      <c r="K1291" s="460" t="e">
        <v>#N/A</v>
      </c>
      <c r="L1291" s="459" t="e">
        <v>#N/A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 S1 1200-1399 mm</v>
      </c>
      <c r="C1292" s="185" t="e">
        <f t="shared" si="41"/>
        <v>#N/A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 t="e">
        <v>#N/A</v>
      </c>
      <c r="I1292" s="460" t="e">
        <v>#N/A</v>
      </c>
      <c r="J1292" s="460" t="e">
        <v>#N/A</v>
      </c>
      <c r="K1292" s="460" t="e">
        <v>#N/A</v>
      </c>
      <c r="L1292" s="459" t="e">
        <v>#N/A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 S2 1400-1599 mm</v>
      </c>
      <c r="C1293" s="185" t="e">
        <f t="shared" si="41"/>
        <v>#N/A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 t="e">
        <v>#N/A</v>
      </c>
      <c r="I1293" s="460" t="e">
        <v>#N/A</v>
      </c>
      <c r="J1293" s="460" t="e">
        <v>#N/A</v>
      </c>
      <c r="K1293" s="460" t="e">
        <v>#N/A</v>
      </c>
      <c r="L1293" s="459" t="e">
        <v>#N/A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 S5 2000-2199 mm</v>
      </c>
      <c r="C1294" s="185" t="e">
        <f t="shared" si="41"/>
        <v>#N/A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 t="e">
        <v>#N/A</v>
      </c>
      <c r="I1294" s="460" t="e">
        <v>#N/A</v>
      </c>
      <c r="J1294" s="460" t="e">
        <v>#N/A</v>
      </c>
      <c r="K1294" s="460" t="e">
        <v>#N/A</v>
      </c>
      <c r="L1294" s="459" t="e">
        <v>#N/A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 S6 2200-2400 mm</v>
      </c>
      <c r="C1295" s="185" t="e">
        <f t="shared" si="41"/>
        <v>#N/A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 t="e">
        <v>#N/A</v>
      </c>
      <c r="I1295" s="460" t="e">
        <v>#N/A</v>
      </c>
      <c r="J1295" s="460" t="e">
        <v>#N/A</v>
      </c>
      <c r="K1295" s="460" t="e">
        <v>#N/A</v>
      </c>
      <c r="L1295" s="459" t="e">
        <v>#N/A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 S 1200-1799 mm komplet okuć</v>
      </c>
      <c r="C1296" s="185" t="e">
        <f t="shared" si="41"/>
        <v>#N/A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 t="e">
        <v>#N/A</v>
      </c>
      <c r="I1296" s="460" t="e">
        <v>#N/A</v>
      </c>
      <c r="J1296" s="460" t="e">
        <v>#N/A</v>
      </c>
      <c r="K1296" s="460" t="e">
        <v>#N/A</v>
      </c>
      <c r="L1296" s="459" t="e">
        <v>#N/A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 M 1800-2199 mm komplet okuć</v>
      </c>
      <c r="C1297" s="185">
        <f t="shared" si="41"/>
        <v>3675.9360099999999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25100.390609999999</v>
      </c>
      <c r="I1297" s="460">
        <v>927.69992000000002</v>
      </c>
      <c r="J1297" s="460">
        <v>3675.9360099999999</v>
      </c>
      <c r="K1297" s="460" t="e">
        <v>#N/A</v>
      </c>
      <c r="L1297" s="459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 L 2200-2400 mm komplet okuć</v>
      </c>
      <c r="C1298" s="185" t="e">
        <f t="shared" si="41"/>
        <v>#N/A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 t="e">
        <v>#N/A</v>
      </c>
      <c r="I1298" s="460" t="e">
        <v>#N/A</v>
      </c>
      <c r="J1298" s="460" t="e">
        <v>#N/A</v>
      </c>
      <c r="K1298" s="460" t="e">
        <v>#N/A</v>
      </c>
      <c r="L1298" s="459" t="e">
        <v>#N/A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 S 1200-1799 mm komplet torów</v>
      </c>
      <c r="C1299" s="185" t="e">
        <f t="shared" si="41"/>
        <v>#N/A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 t="e">
        <v>#N/A</v>
      </c>
      <c r="I1299" s="460" t="e">
        <v>#N/A</v>
      </c>
      <c r="J1299" s="460" t="e">
        <v>#N/A</v>
      </c>
      <c r="K1299" s="460" t="e">
        <v>#N/A</v>
      </c>
      <c r="L1299" s="459" t="e">
        <v>#N/A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 M 1800-2199 mm komplet torów</v>
      </c>
      <c r="C1300" s="185">
        <f t="shared" si="41"/>
        <v>1399.8100099999999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9560.1593499999999</v>
      </c>
      <c r="I1300" s="460">
        <v>353.33947999999998</v>
      </c>
      <c r="J1300" s="460">
        <v>1399.8100099999999</v>
      </c>
      <c r="K1300" s="460" t="e">
        <v>#N/A</v>
      </c>
      <c r="L1300" s="459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 L 2200-2400 mm komplet torów</v>
      </c>
      <c r="C1301" s="185" t="e">
        <f t="shared" si="41"/>
        <v>#N/A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 t="e">
        <v>#N/A</v>
      </c>
      <c r="I1301" s="460" t="e">
        <v>#N/A</v>
      </c>
      <c r="J1301" s="460" t="e">
        <v>#N/A</v>
      </c>
      <c r="K1301" s="460" t="e">
        <v>#N/A</v>
      </c>
      <c r="L1301" s="459" t="e">
        <v>#N/A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IC-Dolna listwa maskująca  10mm 3m srebrna</v>
      </c>
      <c r="C1302" s="185" t="e">
        <f t="shared" si="41"/>
        <v>#N/A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 t="e">
        <v>#N/A</v>
      </c>
      <c r="I1302" s="460" t="e">
        <v>#N/A</v>
      </c>
      <c r="J1302" s="460" t="e">
        <v>#N/A</v>
      </c>
      <c r="K1302" s="460" t="e">
        <v>#N/A</v>
      </c>
      <c r="L1302" s="459" t="e">
        <v>#N/A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IC-profil łączący H 10mm 3m srebrny</v>
      </c>
      <c r="C1303" s="185" t="e">
        <f t="shared" si="41"/>
        <v>#N/A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 t="e">
        <v>#N/A</v>
      </c>
      <c r="I1303" s="460" t="e">
        <v>#N/A</v>
      </c>
      <c r="J1303" s="460" t="e">
        <v>#N/A</v>
      </c>
      <c r="K1303" s="460" t="e">
        <v>#N/A</v>
      </c>
      <c r="L1303" s="459" t="e">
        <v>#N/A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IC-úchwyt Harmony 10 mm 2,7 m szampan</v>
      </c>
      <c r="C1304" s="185" t="e">
        <f t="shared" si="41"/>
        <v>#N/A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 t="e">
        <v>#N/A</v>
      </c>
      <c r="I1304" s="460" t="e">
        <v>#N/A</v>
      </c>
      <c r="J1304" s="460" t="e">
        <v>#N/A</v>
      </c>
      <c r="K1304" s="460" t="e">
        <v>#N/A</v>
      </c>
      <c r="L1304" s="459" t="e">
        <v>#N/A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IC-Górna listwa torowa 10mm 2m szampan</v>
      </c>
      <c r="C1305" s="185" t="e">
        <f t="shared" si="41"/>
        <v>#N/A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 t="e">
        <v>#N/A</v>
      </c>
      <c r="I1305" s="460" t="e">
        <v>#N/A</v>
      </c>
      <c r="J1305" s="460" t="e">
        <v>#N/A</v>
      </c>
      <c r="K1305" s="460" t="e">
        <v>#N/A</v>
      </c>
      <c r="L1305" s="459" t="e">
        <v>#N/A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IC-Górna listwa torowa 10mm 3m szampan</v>
      </c>
      <c r="C1306" s="185" t="e">
        <f t="shared" si="41"/>
        <v>#N/A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 t="e">
        <v>#N/A</v>
      </c>
      <c r="I1306" s="460" t="e">
        <v>#N/A</v>
      </c>
      <c r="J1306" s="460" t="e">
        <v>#N/A</v>
      </c>
      <c r="K1306" s="460" t="e">
        <v>#N/A</v>
      </c>
      <c r="L1306" s="459" t="e">
        <v>#N/A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IC-Górna listwa torowa 10mm 5m szampan</v>
      </c>
      <c r="C1307" s="185" t="e">
        <f t="shared" si="41"/>
        <v>#N/A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 t="e">
        <v>#N/A</v>
      </c>
      <c r="I1307" s="460" t="e">
        <v>#N/A</v>
      </c>
      <c r="J1307" s="460" t="e">
        <v>#N/A</v>
      </c>
      <c r="K1307" s="460" t="e">
        <v>#N/A</v>
      </c>
      <c r="L1307" s="459" t="e">
        <v>#N/A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IC-Dolna listwa maskująca 10 mm 2 m szampan</v>
      </c>
      <c r="C1308" s="185" t="e">
        <f t="shared" si="41"/>
        <v>#N/A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 t="e">
        <v>#N/A</v>
      </c>
      <c r="I1308" s="460" t="e">
        <v>#N/A</v>
      </c>
      <c r="J1308" s="460" t="e">
        <v>#N/A</v>
      </c>
      <c r="K1308" s="460" t="e">
        <v>#N/A</v>
      </c>
      <c r="L1308" s="459" t="e">
        <v>#N/A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IC-Dolna listwa maskująca 10 mm 3 m szampan</v>
      </c>
      <c r="C1309" s="185" t="e">
        <f t="shared" si="41"/>
        <v>#N/A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 t="e">
        <v>#N/A</v>
      </c>
      <c r="I1309" s="460" t="e">
        <v>#N/A</v>
      </c>
      <c r="J1309" s="460" t="e">
        <v>#N/A</v>
      </c>
      <c r="K1309" s="460" t="e">
        <v>#N/A</v>
      </c>
      <c r="L1309" s="459" t="e">
        <v>#N/A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IC-Dolna listwa maskująca 10 mm 5 m szampan</v>
      </c>
      <c r="C1310" s="185" t="e">
        <f t="shared" si="41"/>
        <v>#N/A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 t="e">
        <v>#N/A</v>
      </c>
      <c r="I1310" s="460" t="e">
        <v>#N/A</v>
      </c>
      <c r="J1310" s="460" t="e">
        <v>#N/A</v>
      </c>
      <c r="K1310" s="460" t="e">
        <v>#N/A</v>
      </c>
      <c r="L1310" s="459" t="e">
        <v>#N/A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IC-profil łączący H 10mm 3m szampan</v>
      </c>
      <c r="C1311" s="185" t="e">
        <f t="shared" si="41"/>
        <v>#N/A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 t="e">
        <v>#N/A</v>
      </c>
      <c r="I1311" s="460" t="e">
        <v>#N/A</v>
      </c>
      <c r="J1311" s="460" t="e">
        <v>#N/A</v>
      </c>
      <c r="K1311" s="460" t="e">
        <v>#N/A</v>
      </c>
      <c r="L1311" s="459" t="e">
        <v>#N/A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IC-profil łączący H 10mm 5m szampan</v>
      </c>
      <c r="C1312" s="185" t="e">
        <f t="shared" si="41"/>
        <v>#N/A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 t="e">
        <v>#N/A</v>
      </c>
      <c r="I1312" s="460" t="e">
        <v>#N/A</v>
      </c>
      <c r="J1312" s="460" t="e">
        <v>#N/A</v>
      </c>
      <c r="K1312" s="460" t="e">
        <v>#N/A</v>
      </c>
      <c r="L1312" s="459" t="e">
        <v>#N/A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S-tłumienie obustronne Slidix Centro T40 S55/S60/S65</v>
      </c>
      <c r="C1314" s="185" t="e">
        <f t="shared" si="41"/>
        <v>#N/A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 t="e">
        <v>#N/A</v>
      </c>
      <c r="I1314" s="460" t="e">
        <v>#N/A</v>
      </c>
      <c r="J1314" s="460" t="e">
        <v>#N/A</v>
      </c>
      <c r="K1314" s="460" t="e">
        <v>#N/A</v>
      </c>
      <c r="L1314" s="459" t="e">
        <v>#N/A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jasny brąz 2,7m</v>
      </c>
      <c r="C1315" s="185" t="e">
        <f t="shared" si="41"/>
        <v>#N/A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 t="e">
        <v>#N/A</v>
      </c>
      <c r="I1315" s="460" t="e">
        <v>#N/A</v>
      </c>
      <c r="J1315" s="460" t="e">
        <v>#N/A</v>
      </c>
      <c r="K1315" s="460" t="e">
        <v>#N/A</v>
      </c>
      <c r="L1315" s="459" t="e">
        <v>#N/A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górny profil prowadzący jasny brąz 3m</v>
      </c>
      <c r="C1316" s="185" t="e">
        <f t="shared" si="41"/>
        <v>#N/A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 t="e">
        <v>#N/A</v>
      </c>
      <c r="I1316" s="460" t="e">
        <v>#N/A</v>
      </c>
      <c r="J1316" s="460" t="e">
        <v>#N/A</v>
      </c>
      <c r="K1316" s="460" t="e">
        <v>#N/A</v>
      </c>
      <c r="L1316" s="459" t="e">
        <v>#N/A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dolny profil prowadzący 3m jasny brąz</v>
      </c>
      <c r="C1317" s="185" t="e">
        <f t="shared" si="41"/>
        <v>#N/A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 t="e">
        <v>#N/A</v>
      </c>
      <c r="I1317" s="460" t="e">
        <v>#N/A</v>
      </c>
      <c r="J1317" s="460" t="e">
        <v>#N/A</v>
      </c>
      <c r="K1317" s="460" t="e">
        <v>#N/A</v>
      </c>
      <c r="L1317" s="459" t="e">
        <v>#N/A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górny a středový profil 3,5m jasny brąz</v>
      </c>
      <c r="C1318" s="185" t="e">
        <f t="shared" si="41"/>
        <v>#N/A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 t="e">
        <v>#N/A</v>
      </c>
      <c r="I1318" s="460" t="e">
        <v>#N/A</v>
      </c>
      <c r="J1318" s="460" t="e">
        <v>#N/A</v>
      </c>
      <c r="K1318" s="460" t="e">
        <v>#N/A</v>
      </c>
      <c r="L1318" s="459" t="e">
        <v>#N/A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dolny profil 4/18mm 3,5m jasny brąz</v>
      </c>
      <c r="C1319" s="185" t="e">
        <f t="shared" si="41"/>
        <v>#N/A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 t="e">
        <v>#N/A</v>
      </c>
      <c r="I1319" s="460" t="e">
        <v>#N/A</v>
      </c>
      <c r="J1319" s="460" t="e">
        <v>#N/A</v>
      </c>
      <c r="K1319" s="460" t="e">
        <v>#N/A</v>
      </c>
      <c r="L1319" s="459" t="e">
        <v>#N/A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profl maskujący 3m jasny brąz</v>
      </c>
      <c r="C1320" s="185" t="e">
        <f t="shared" si="41"/>
        <v>#N/A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 t="e">
        <v>#N/A</v>
      </c>
      <c r="I1320" s="460" t="e">
        <v>#N/A</v>
      </c>
      <c r="J1320" s="460" t="e">
        <v>#N/A</v>
      </c>
      <c r="K1320" s="460" t="e">
        <v>#N/A</v>
      </c>
      <c r="L1320" s="459" t="e">
        <v>#N/A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S-S45-górny profil prowadzący 3m srebrny</v>
      </c>
      <c r="C1321" s="185" t="e">
        <f t="shared" si="41"/>
        <v>#N/A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 t="e">
        <v>#N/A</v>
      </c>
      <c r="I1321" s="460" t="e">
        <v>#N/A</v>
      </c>
      <c r="J1321" s="460" t="e">
        <v>#N/A</v>
      </c>
      <c r="K1321" s="460" t="e">
        <v>#N/A</v>
      </c>
      <c r="L1321" s="459" t="e">
        <v>#N/A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dolny elox 3m</v>
      </c>
      <c r="C1322" s="185" t="e">
        <f t="shared" si="41"/>
        <v>#N/A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 t="e">
        <v>#N/A</v>
      </c>
      <c r="I1322" s="460" t="e">
        <v>#N/A</v>
      </c>
      <c r="J1322" s="460" t="e">
        <v>#N/A</v>
      </c>
      <c r="K1322" s="460" t="e">
        <v>#N/A</v>
      </c>
      <c r="L1322" s="459" t="e">
        <v>#N/A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górny tor 2m (dodać 85355)</v>
      </c>
      <c r="C1323" s="185" t="e">
        <f t="shared" si="41"/>
        <v>#N/A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 t="e">
        <v>#N/A</v>
      </c>
      <c r="I1323" s="460" t="e">
        <v>#N/A</v>
      </c>
      <c r="J1323" s="460" t="e">
        <v>#N/A</v>
      </c>
      <c r="K1323" s="460" t="e">
        <v>#N/A</v>
      </c>
      <c r="L1323" s="459" t="e">
        <v>#N/A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górny tor 3m (dodać 85355)</v>
      </c>
      <c r="C1324" s="185" t="e">
        <f t="shared" si="41"/>
        <v>#N/A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 t="e">
        <v>#N/A</v>
      </c>
      <c r="I1324" s="460" t="e">
        <v>#N/A</v>
      </c>
      <c r="J1324" s="460" t="e">
        <v>#N/A</v>
      </c>
      <c r="K1324" s="460" t="e">
        <v>#N/A</v>
      </c>
      <c r="L1324" s="459" t="e">
        <v>#N/A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dolna listwa alu surowa 2m</v>
      </c>
      <c r="C1325" s="185" t="e">
        <f t="shared" si="41"/>
        <v>#N/A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 t="e">
        <v>#N/A</v>
      </c>
      <c r="I1325" s="460" t="e">
        <v>#N/A</v>
      </c>
      <c r="J1325" s="460" t="e">
        <v>#N/A</v>
      </c>
      <c r="K1325" s="460" t="e">
        <v>#N/A</v>
      </c>
      <c r="L1325" s="459" t="e">
        <v>#N/A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dolna listwa alu surowa 2,5m</v>
      </c>
      <c r="C1326" s="185" t="e">
        <f t="shared" si="41"/>
        <v>#N/A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 t="e">
        <v>#N/A</v>
      </c>
      <c r="I1326" s="460" t="e">
        <v>#N/A</v>
      </c>
      <c r="J1326" s="460" t="e">
        <v>#N/A</v>
      </c>
      <c r="K1326" s="460" t="e">
        <v>#N/A</v>
      </c>
      <c r="L1326" s="459" t="e">
        <v>#N/A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dolna listwa alu surowa 3m</v>
      </c>
      <c r="C1327" s="185" t="e">
        <f t="shared" si="41"/>
        <v>#N/A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 t="e">
        <v>#N/A</v>
      </c>
      <c r="I1327" s="460" t="e">
        <v>#N/A</v>
      </c>
      <c r="J1327" s="460" t="e">
        <v>#N/A</v>
      </c>
      <c r="K1327" s="460" t="e">
        <v>#N/A</v>
      </c>
      <c r="L1327" s="459" t="e">
        <v>#N/A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komplet okuć lewy</v>
      </c>
      <c r="C1328" s="185" t="e">
        <f t="shared" si="41"/>
        <v>#N/A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 t="e">
        <v>#N/A</v>
      </c>
      <c r="I1328" s="460" t="e">
        <v>#N/A</v>
      </c>
      <c r="J1328" s="460" t="e">
        <v>#N/A</v>
      </c>
      <c r="K1328" s="460" t="e">
        <v>#N/A</v>
      </c>
      <c r="L1328" s="459" t="e">
        <v>#N/A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komplet okuć prawy</v>
      </c>
      <c r="C1329" s="185" t="e">
        <f t="shared" si="41"/>
        <v>#N/A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 t="e">
        <v>#N/A</v>
      </c>
      <c r="I1329" s="460" t="e">
        <v>#N/A</v>
      </c>
      <c r="J1329" s="460" t="e">
        <v>#N/A</v>
      </c>
      <c r="K1329" s="460" t="e">
        <v>#N/A</v>
      </c>
      <c r="L1329" s="459" t="e">
        <v>#N/A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dolna listwa alu surowa 5m</v>
      </c>
      <c r="C1330" s="185" t="e">
        <f t="shared" si="41"/>
        <v>#N/A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 t="e">
        <v>#N/A</v>
      </c>
      <c r="I1330" s="460" t="e">
        <v>#N/A</v>
      </c>
      <c r="J1330" s="460" t="e">
        <v>#N/A</v>
      </c>
      <c r="K1330" s="460" t="e">
        <v>#N/A</v>
      </c>
      <c r="L1330" s="459" t="e">
        <v>#N/A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hamulec plastikowy</v>
      </c>
      <c r="C1331" s="185">
        <f t="shared" si="41"/>
        <v>2.21428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11.76</v>
      </c>
      <c r="I1331" s="460">
        <v>0.50190999999999997</v>
      </c>
      <c r="J1331" s="460">
        <v>2.21428</v>
      </c>
      <c r="K1331" s="460" t="e">
        <v>#N/A</v>
      </c>
      <c r="L1331" s="459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hamulec prawy</v>
      </c>
      <c r="C1332" s="185" t="e">
        <f t="shared" si="41"/>
        <v>#N/A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 t="e">
        <v>#N/A</v>
      </c>
      <c r="I1332" s="460" t="e">
        <v>#N/A</v>
      </c>
      <c r="J1332" s="460" t="e">
        <v>#N/A</v>
      </c>
      <c r="K1332" s="460" t="e">
        <v>#N/A</v>
      </c>
      <c r="L1332" s="459" t="e">
        <v>#N/A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odbojnik</v>
      </c>
      <c r="C1333" s="185" t="e">
        <f t="shared" si="41"/>
        <v>#N/A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 t="e">
        <v>#N/A</v>
      </c>
      <c r="I1333" s="460" t="e">
        <v>#N/A</v>
      </c>
      <c r="J1333" s="460" t="e">
        <v>#N/A</v>
      </c>
      <c r="K1333" s="460" t="e">
        <v>#N/A</v>
      </c>
      <c r="L1333" s="459" t="e">
        <v>#N/A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listwa uchwytowa 2,7m</v>
      </c>
      <c r="C1334" s="185" t="e">
        <f t="shared" si="41"/>
        <v>#N/A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 t="e">
        <v>#N/A</v>
      </c>
      <c r="I1334" s="460" t="e">
        <v>#N/A</v>
      </c>
      <c r="J1334" s="460" t="e">
        <v>#N/A</v>
      </c>
      <c r="K1334" s="460" t="e">
        <v>#N/A</v>
      </c>
      <c r="L1334" s="459" t="e">
        <v>#N/A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Taboret-podest składany szary wys. 27cm</v>
      </c>
      <c r="C1335" s="185">
        <f t="shared" si="41"/>
        <v>5.6100000000000004E-3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Taboret-podest składany szary wys. 39cm</v>
      </c>
      <c r="C1336" s="185" t="e">
        <f t="shared" si="41"/>
        <v>#N/A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 t="e">
        <v>#N/A</v>
      </c>
      <c r="I1336" s="460" t="e">
        <v>#N/A</v>
      </c>
      <c r="J1336" s="460" t="e">
        <v>#N/A</v>
      </c>
      <c r="K1336" s="460" t="e">
        <v>#N/A</v>
      </c>
      <c r="L1336" s="459" t="e">
        <v>#N/A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maskownica do toru Elegant II 3m czarny mat</v>
      </c>
      <c r="C1339" s="185">
        <f t="shared" si="41"/>
        <v>21.542400000000001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2263.5540099999998</v>
      </c>
      <c r="L1339" s="459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dolny profil 4m elox srebrny</v>
      </c>
      <c r="C1345" s="185" t="e">
        <f t="shared" si="41"/>
        <v>#N/A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 t="e">
        <v>#N/A</v>
      </c>
      <c r="I1345" s="460" t="e">
        <v>#N/A</v>
      </c>
      <c r="J1345" s="460" t="e">
        <v>#N/A</v>
      </c>
      <c r="K1345" s="460" t="e">
        <v>#N/A</v>
      </c>
      <c r="L1345" s="459" t="e">
        <v>#N/A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profil maskujący 4m srebrny</v>
      </c>
      <c r="C1346" s="185" t="e">
        <f t="shared" si="41"/>
        <v>#N/A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 t="e">
        <v>#N/A</v>
      </c>
      <c r="I1346" s="460" t="e">
        <v>#N/A</v>
      </c>
      <c r="J1346" s="460" t="e">
        <v>#N/A</v>
      </c>
      <c r="K1346" s="460" t="e">
        <v>#N/A</v>
      </c>
      <c r="L1346" s="459" t="e">
        <v>#N/A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S-S05-górny profil prowadzący 6m srebrny</v>
      </c>
      <c r="C1347" s="185" t="e">
        <f t="shared" si="41"/>
        <v>#N/A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 t="e">
        <v>#N/A</v>
      </c>
      <c r="I1347" s="460" t="e">
        <v>#N/A</v>
      </c>
      <c r="J1347" s="460" t="e">
        <v>#N/A</v>
      </c>
      <c r="K1347" s="460" t="e">
        <v>#N/A</v>
      </c>
      <c r="L1347" s="459" t="e">
        <v>#N/A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srebrny elox 3,2m</v>
      </c>
      <c r="C1348" s="185" t="e">
        <f t="shared" ref="C1348:C1411" si="43">IF($A$2=1,H1348,IF($A$2=2,I1348,IF($A$2=3,J1348,IF($A$2=4,K1348,IF($A$2&gt;4,O1348,"zadat jazyk")))))</f>
        <v>#N/A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 t="e">
        <v>#N/A</v>
      </c>
      <c r="I1348" s="460" t="e">
        <v>#N/A</v>
      </c>
      <c r="J1348" s="460" t="e">
        <v>#N/A</v>
      </c>
      <c r="K1348" s="460" t="e">
        <v>#N/A</v>
      </c>
      <c r="L1348" s="459" t="e">
        <v>#N/A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dolny profil 6m srebrny</v>
      </c>
      <c r="C1349" s="185" t="e">
        <f t="shared" si="43"/>
        <v>#N/A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 t="e">
        <v>#N/A</v>
      </c>
      <c r="I1349" s="460" t="e">
        <v>#N/A</v>
      </c>
      <c r="J1349" s="460" t="e">
        <v>#N/A</v>
      </c>
      <c r="K1349" s="460" t="e">
        <v>#N/A</v>
      </c>
      <c r="L1349" s="459" t="e">
        <v>#N/A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profl maskujący 6m srebrny</v>
      </c>
      <c r="C1350" s="185" t="e">
        <f t="shared" si="43"/>
        <v>#N/A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 t="e">
        <v>#N/A</v>
      </c>
      <c r="I1350" s="460" t="e">
        <v>#N/A</v>
      </c>
      <c r="J1350" s="460" t="e">
        <v>#N/A</v>
      </c>
      <c r="K1350" s="460" t="e">
        <v>#N/A</v>
      </c>
      <c r="L1350" s="459" t="e">
        <v>#N/A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górny i środkowy profil 4/18mm 4m srebrny</v>
      </c>
      <c r="C1351" s="185" t="e">
        <f t="shared" si="43"/>
        <v>#N/A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 t="e">
        <v>#N/A</v>
      </c>
      <c r="I1351" s="460" t="e">
        <v>#N/A</v>
      </c>
      <c r="J1351" s="460" t="e">
        <v>#N/A</v>
      </c>
      <c r="K1351" s="460" t="e">
        <v>#N/A</v>
      </c>
      <c r="L1351" s="459" t="e">
        <v>#N/A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dolny profil 4/18mm 4m srebrny</v>
      </c>
      <c r="C1352" s="185" t="e">
        <f t="shared" si="43"/>
        <v>#N/A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 t="e">
        <v>#N/A</v>
      </c>
      <c r="I1352" s="460" t="e">
        <v>#N/A</v>
      </c>
      <c r="J1352" s="460" t="e">
        <v>#N/A</v>
      </c>
      <c r="K1352" s="460" t="e">
        <v>#N/A</v>
      </c>
      <c r="L1352" s="459" t="e">
        <v>#N/A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S-S05-1-górny tor 2m srebrny</v>
      </c>
      <c r="C1358" s="185" t="e">
        <f t="shared" si="43"/>
        <v>#N/A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 t="e">
        <v>#N/A</v>
      </c>
      <c r="I1358" s="460" t="e">
        <v>#N/A</v>
      </c>
      <c r="J1358" s="460" t="e">
        <v>#N/A</v>
      </c>
      <c r="K1358" s="460" t="e">
        <v>#N/A</v>
      </c>
      <c r="L1358" s="459" t="e">
        <v>#N/A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dolny tor 2m elox srebrny</v>
      </c>
      <c r="C1359" s="185">
        <f t="shared" si="43"/>
        <v>30.999929999999999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164.64</v>
      </c>
      <c r="I1359" s="460">
        <v>7.0267799999999996</v>
      </c>
      <c r="J1359" s="460">
        <v>30.999929999999999</v>
      </c>
      <c r="K1359" s="460" t="e">
        <v>#N/A</v>
      </c>
      <c r="L1359" s="459" t="s">
        <v>540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Profil pionowy Standard bronzowy 2,75m</v>
      </c>
      <c r="C1362" s="185" t="e">
        <f t="shared" si="43"/>
        <v>#N/A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 t="e">
        <v>#N/A</v>
      </c>
      <c r="I1362" s="460" t="e">
        <v>#N/A</v>
      </c>
      <c r="J1362" s="460" t="e">
        <v>#N/A</v>
      </c>
      <c r="K1362" s="460" t="e">
        <v>#N/A</v>
      </c>
      <c r="L1362" s="459" t="e">
        <v>#N/A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IC-tor górny brązowy 2m</v>
      </c>
      <c r="C1363" s="185" t="e">
        <f t="shared" si="43"/>
        <v>#N/A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 t="e">
        <v>#N/A</v>
      </c>
      <c r="I1363" s="460" t="e">
        <v>#N/A</v>
      </c>
      <c r="J1363" s="460" t="e">
        <v>#N/A</v>
      </c>
      <c r="K1363" s="460" t="e">
        <v>#N/A</v>
      </c>
      <c r="L1363" s="459" t="e">
        <v>#N/A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IC-tor dolny brązowy 2m</v>
      </c>
      <c r="C1364" s="185" t="e">
        <f t="shared" si="43"/>
        <v>#N/A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 t="e">
        <v>#N/A</v>
      </c>
      <c r="I1364" s="460" t="e">
        <v>#N/A</v>
      </c>
      <c r="J1364" s="460" t="e">
        <v>#N/A</v>
      </c>
      <c r="K1364" s="460" t="e">
        <v>#N/A</v>
      </c>
      <c r="L1364" s="459" t="e">
        <v>#N/A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Profil poziomy  bronzowy 2,4m</v>
      </c>
      <c r="C1365" s="185" t="e">
        <f t="shared" si="43"/>
        <v>#N/A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 t="e">
        <v>#N/A</v>
      </c>
      <c r="I1365" s="460" t="e">
        <v>#N/A</v>
      </c>
      <c r="J1365" s="460" t="e">
        <v>#N/A</v>
      </c>
      <c r="K1365" s="460" t="e">
        <v>#N/A</v>
      </c>
      <c r="L1365" s="459" t="e">
        <v>#N/A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zestaw Simple</v>
      </c>
      <c r="C1368" s="185">
        <f t="shared" si="43"/>
        <v>167.48025000000001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 t="e">
        <v>#N/A</v>
      </c>
      <c r="L1368" s="459" t="s">
        <v>538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zestaw Square</v>
      </c>
      <c r="C1369" s="185">
        <f t="shared" si="43"/>
        <v>265.9905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 t="e">
        <v>#N/A</v>
      </c>
      <c r="L1369" s="459" t="s">
        <v>538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zestaw Big</v>
      </c>
      <c r="C1370" s="185">
        <f t="shared" si="43"/>
        <v>292.96203000000003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 t="e">
        <v>#N/A</v>
      </c>
      <c r="L1370" s="459" t="s">
        <v>538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zestaw tłumienia</v>
      </c>
      <c r="C1371" s="185">
        <f t="shared" si="43"/>
        <v>63.447279999999999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 t="e">
        <v>#N/A</v>
      </c>
      <c r="L1371" s="459" t="s">
        <v>538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tor górny 2 m</v>
      </c>
      <c r="C1372" s="185">
        <f t="shared" si="43"/>
        <v>100.82210000000001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 t="e">
        <v>#N/A</v>
      </c>
      <c r="L1372" s="459" t="s">
        <v>538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tor górny 3 m</v>
      </c>
      <c r="C1373" s="185">
        <f t="shared" si="43"/>
        <v>145.64617999999999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 t="e">
        <v>#N/A</v>
      </c>
      <c r="L1373" s="459" t="s">
        <v>538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materiał łączący do ściany czarny mat</v>
      </c>
      <c r="C1375" s="185">
        <f t="shared" si="43"/>
        <v>13.485749999999999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 t="e">
        <v>#N/A</v>
      </c>
      <c r="L1375" s="459" t="s">
        <v>538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zestaw Simple 2 m z tłumieniem, 30-40 mm</v>
      </c>
      <c r="C1376" s="185">
        <f t="shared" si="43"/>
        <v>0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0</v>
      </c>
      <c r="I1376" s="460">
        <v>0</v>
      </c>
      <c r="J1376" s="460">
        <v>0</v>
      </c>
      <c r="K1376" s="460" t="e">
        <v>#N/A</v>
      </c>
      <c r="L1376" s="459" t="s">
        <v>538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zestaw Simple 3 m z tłumieniem, 30-40 mm</v>
      </c>
      <c r="C1377" s="185">
        <f t="shared" si="43"/>
        <v>0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0</v>
      </c>
      <c r="I1377" s="460">
        <v>0</v>
      </c>
      <c r="J1377" s="460">
        <v>0</v>
      </c>
      <c r="K1377" s="460" t="e">
        <v>#N/A</v>
      </c>
      <c r="L1377" s="459" t="s">
        <v>538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zestaw Square 2 m z tłumieniem, 30-40 mm</v>
      </c>
      <c r="C1378" s="185">
        <f t="shared" si="43"/>
        <v>0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0</v>
      </c>
      <c r="I1378" s="460">
        <v>0</v>
      </c>
      <c r="J1378" s="460">
        <v>0</v>
      </c>
      <c r="K1378" s="460" t="e">
        <v>#N/A</v>
      </c>
      <c r="L1378" s="459" t="s">
        <v>538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zestaw Square 3 m z tłumieniem, 30-40 mm</v>
      </c>
      <c r="C1379" s="185">
        <f t="shared" si="43"/>
        <v>0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0</v>
      </c>
      <c r="I1379" s="460">
        <v>0</v>
      </c>
      <c r="J1379" s="460">
        <v>0</v>
      </c>
      <c r="K1379" s="460" t="e">
        <v>#N/A</v>
      </c>
      <c r="L1379" s="459" t="s">
        <v>538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zestaw Big 2 m z tłumieniem, 30-40 mm</v>
      </c>
      <c r="C1380" s="185">
        <f t="shared" si="43"/>
        <v>0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0</v>
      </c>
      <c r="I1380" s="460">
        <v>0</v>
      </c>
      <c r="J1380" s="460">
        <v>0</v>
      </c>
      <c r="K1380" s="460" t="e">
        <v>#N/A</v>
      </c>
      <c r="L1380" s="459" t="s">
        <v>538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zestaw Big 3 m z tłumieniem, 30-40 mm</v>
      </c>
      <c r="C1381" s="185">
        <f t="shared" si="43"/>
        <v>0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0</v>
      </c>
      <c r="I1381" s="460">
        <v>0</v>
      </c>
      <c r="J1381" s="460">
        <v>0</v>
      </c>
      <c r="K1381" s="460" t="e">
        <v>#N/A</v>
      </c>
      <c r="L1381" s="459" t="s">
        <v>538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zestaw Simple 2 m bez tłumienia, 30-40 mm</v>
      </c>
      <c r="C1382" s="185">
        <f t="shared" si="43"/>
        <v>0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0</v>
      </c>
      <c r="I1382" s="460">
        <v>0</v>
      </c>
      <c r="J1382" s="460">
        <v>0</v>
      </c>
      <c r="K1382" s="460" t="e">
        <v>#N/A</v>
      </c>
      <c r="L1382" s="459" t="s">
        <v>538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zestaw Simple 3 m bez tłumienia, 30-40 mm</v>
      </c>
      <c r="C1383" s="185">
        <f t="shared" si="43"/>
        <v>0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0</v>
      </c>
      <c r="I1383" s="460">
        <v>0</v>
      </c>
      <c r="J1383" s="460">
        <v>0</v>
      </c>
      <c r="K1383" s="460" t="e">
        <v>#N/A</v>
      </c>
      <c r="L1383" s="459" t="s">
        <v>538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zestaw Big 2 m bez tłumienia, 30-40 mm</v>
      </c>
      <c r="C1384" s="185">
        <f t="shared" si="43"/>
        <v>0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0</v>
      </c>
      <c r="I1384" s="460">
        <v>0</v>
      </c>
      <c r="J1384" s="460">
        <v>0</v>
      </c>
      <c r="K1384" s="460" t="e">
        <v>#N/A</v>
      </c>
      <c r="L1384" s="459" t="s">
        <v>538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zestaw Big 3 m bez tłumienia, 30-40 mm</v>
      </c>
      <c r="C1385" s="185">
        <f t="shared" si="43"/>
        <v>0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0</v>
      </c>
      <c r="I1385" s="460">
        <v>0</v>
      </c>
      <c r="J1385" s="460">
        <v>0</v>
      </c>
      <c r="K1385" s="460" t="e">
        <v>#N/A</v>
      </c>
      <c r="L1385" s="459" t="s">
        <v>538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zestaw Square 2 m bez tłumienia, 30-40 mm</v>
      </c>
      <c r="C1386" s="185">
        <f t="shared" si="43"/>
        <v>0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0</v>
      </c>
      <c r="I1386" s="460">
        <v>0</v>
      </c>
      <c r="J1386" s="460">
        <v>0</v>
      </c>
      <c r="K1386" s="460" t="e">
        <v>#N/A</v>
      </c>
      <c r="L1386" s="459" t="s">
        <v>538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zestaw Square 3 m bez tłumienia, 30-40 mm</v>
      </c>
      <c r="C1387" s="185">
        <f t="shared" si="43"/>
        <v>0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0</v>
      </c>
      <c r="I1387" s="460">
        <v>0</v>
      </c>
      <c r="J1387" s="460">
        <v>0</v>
      </c>
      <c r="K1387" s="460" t="e">
        <v>#N/A</v>
      </c>
      <c r="L1387" s="459" t="s">
        <v>538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IC-rączka Comfort 10mm 2,7m srebrna</v>
      </c>
      <c r="C1388" s="185" t="e">
        <f t="shared" si="43"/>
        <v>#N/A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 t="e">
        <v>#N/A</v>
      </c>
      <c r="I1388" s="460" t="e">
        <v>#N/A</v>
      </c>
      <c r="J1388" s="460" t="e">
        <v>#N/A</v>
      </c>
      <c r="K1388" s="460" t="e">
        <v>#N/A</v>
      </c>
      <c r="L1388" s="459" t="e">
        <v>#N/A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IC-Llistwa uchwytowa Harmony 10mm 2,6m  srebrny</v>
      </c>
      <c r="C1389" s="185" t="e">
        <f t="shared" si="43"/>
        <v>#N/A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 t="e">
        <v>#N/A</v>
      </c>
      <c r="I1389" s="460" t="e">
        <v>#N/A</v>
      </c>
      <c r="J1389" s="460" t="e">
        <v>#N/A</v>
      </c>
      <c r="K1389" s="460" t="e">
        <v>#N/A</v>
      </c>
      <c r="L1389" s="459" t="e">
        <v>#N/A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IC-górna listwa wodząca 10mm 3m srebrny</v>
      </c>
      <c r="C1390" s="185" t="e">
        <f t="shared" si="43"/>
        <v>#N/A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 t="e">
        <v>#N/A</v>
      </c>
      <c r="I1390" s="460" t="e">
        <v>#N/A</v>
      </c>
      <c r="J1390" s="460" t="e">
        <v>#N/A</v>
      </c>
      <c r="K1390" s="460" t="e">
        <v>#N/A</v>
      </c>
      <c r="L1390" s="459" t="e">
        <v>#N/A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IC-Górna listwa torowa 10mm 5m srebrna</v>
      </c>
      <c r="C1391" s="185" t="e">
        <f t="shared" si="43"/>
        <v>#N/A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 t="e">
        <v>#N/A</v>
      </c>
      <c r="I1391" s="460" t="e">
        <v>#N/A</v>
      </c>
      <c r="J1391" s="460" t="e">
        <v>#N/A</v>
      </c>
      <c r="K1391" s="460" t="e">
        <v>#N/A</v>
      </c>
      <c r="L1391" s="459" t="e">
        <v>#N/A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04299-A zaślepka do toru Elegant II 4,05m jasny brąz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04301-A zaślepka do toru Elegant II 6m jasny brąz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tor górny 2m jasny brąz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Blue tor górny 2,5m jasny brąz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04468-M Blue tor górny 3m jasny brąz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tor górny 4m jasny brąz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Blue-V tor dolny 2,5m jasny brąz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Blue-V tor dolny 1,5m jasny brąz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04492-M Blue-V tor dolny 3m jasny brąz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SEVROLL04493-M Blue-V tor dolny 4m jasny brąz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Blue-C tor dolny 2m jasny brąz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Blue-C tor dolny 2,5m jasny brąz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Blue-C tor dolny 3m jasny brąz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Blue-C tor dolny 4m jasny brąz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Blue-C tor dolny 6m jasny brąz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 04278-A Elegant II tor dolny 6m jasny brąz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Vitara rączka 2,70m jasny brąz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Maxim tor górny 1,8m jasny brąz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Porto rączka 3m jasny brąz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Maxim tor górny 1,8m jasny brąz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rączka 100mm czarny mat</v>
      </c>
      <c r="C1412" s="185">
        <f t="shared" ref="C1412:C1475" si="45">IF($A$2=1,H1412,IF($A$2=2,I1412,IF($A$2=3,J1412,IF($A$2=4,K1412,IF($A$2&gt;4,O1412,"zadat jazyk")))))</f>
        <v>1.54355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rączka 100 mm, biała matowa</v>
      </c>
      <c r="C1413" s="185">
        <f t="shared" si="45"/>
        <v>1.5232399999999999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8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rączka 100mm czarny połysk</v>
      </c>
      <c r="C1414" s="185">
        <f t="shared" si="45"/>
        <v>1.8174399999999999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/>
      </c>
      <c r="C1415" s="185">
        <f t="shared" si="45"/>
        <v>1.17014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/>
      </c>
      <c r="C1416" s="185">
        <f t="shared" si="45"/>
        <v>2.2383799999999998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/>
      </c>
      <c r="C1417" s="185" t="e">
        <f t="shared" si="45"/>
        <v>#N/A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 t="e">
        <v>#N/A</v>
      </c>
      <c r="I1417" s="460" t="e">
        <v>#N/A</v>
      </c>
      <c r="J1417" s="460" t="e">
        <v>#N/A</v>
      </c>
      <c r="K1417" s="460" t="e">
        <v>#N/A</v>
      </c>
      <c r="L1417" s="459" t="e">
        <v>#N/A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/>
      </c>
      <c r="C1418" s="185">
        <f t="shared" si="45"/>
        <v>337.33834999999999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11</v>
      </c>
      <c r="L1418" s="459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/>
      </c>
      <c r="C1419" s="185" t="e">
        <f t="shared" si="45"/>
        <v>#N/A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 t="e">
        <v>#N/A</v>
      </c>
      <c r="I1419" s="460" t="e">
        <v>#N/A</v>
      </c>
      <c r="J1419" s="460" t="e">
        <v>#N/A</v>
      </c>
      <c r="K1419" s="460" t="e">
        <v>#N/A</v>
      </c>
      <c r="L1419" s="459" t="e">
        <v>#N/A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/>
      </c>
      <c r="C1420" s="185" t="e">
        <f t="shared" si="45"/>
        <v>#N/A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 t="e">
        <v>#N/A</v>
      </c>
      <c r="I1420" s="460" t="e">
        <v>#N/A</v>
      </c>
      <c r="J1420" s="460" t="e">
        <v>#N/A</v>
      </c>
      <c r="K1420" s="460" t="e">
        <v>#N/A</v>
      </c>
      <c r="L1420" s="459" t="e">
        <v>#N/A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tor dolny 2m jasny brąz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Lux III rączka 2,7m jasny brąz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profil "U" do płyty laminowanej 18mm 3m jasny brąz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kątownik Mini 17x11mm 3m jasny brąz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tor dolny Simple/Blue 3m (do płyty laminowanej 10mm) jasny brąz new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Focus II 18mm rączka 2,7m jasny brąz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 Rączka Lynx 2,7m oliwka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zaślepka do toru Elegant II 1,7m jasny brąz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komplet okuć 80kg (H80)</v>
      </c>
      <c r="C1429" s="185">
        <f t="shared" si="45"/>
        <v>113.20511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601.23</v>
      </c>
      <c r="I1429" s="460">
        <v>25.660299999999999</v>
      </c>
      <c r="J1429" s="460">
        <v>113.20511</v>
      </c>
      <c r="K1429" s="460" t="e">
        <v>#N/A</v>
      </c>
      <c r="L1429" s="459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 stal</v>
      </c>
      <c r="C1431" s="185">
        <f t="shared" si="45"/>
        <v>81.928389999999993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81.928389999999993</v>
      </c>
      <c r="K1431" s="460" t="e">
        <v>#N/A</v>
      </c>
      <c r="L1431" s="459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stal</v>
      </c>
      <c r="C1432" s="185">
        <f t="shared" si="45"/>
        <v>122.89259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122.89259</v>
      </c>
      <c r="K1432" s="460" t="e">
        <v>#N/A</v>
      </c>
      <c r="L1432" s="459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S-hamulec do regulacji S40/S40H/S80</v>
      </c>
      <c r="C1433" s="185">
        <f t="shared" si="45"/>
        <v>9.1339199999999998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48.51</v>
      </c>
      <c r="I1433" s="460">
        <v>2.0703900000000002</v>
      </c>
      <c r="J1433" s="460">
        <v>9.1339199999999998</v>
      </c>
      <c r="K1433" s="460" t="e">
        <v>#N/A</v>
      </c>
      <c r="L1433" s="459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komplet okuć</v>
      </c>
      <c r="C1434" s="185">
        <f t="shared" si="45"/>
        <v>92.723010000000002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492.45</v>
      </c>
      <c r="I1434" s="460">
        <v>21.01763</v>
      </c>
      <c r="J1434" s="460">
        <v>92.723010000000002</v>
      </c>
      <c r="K1434" s="460" t="e">
        <v>#N/A</v>
      </c>
      <c r="L1434" s="459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listwa dolna elox alu 3m</v>
      </c>
      <c r="C1435" s="185" t="e">
        <f t="shared" si="45"/>
        <v>#N/A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 t="e">
        <v>#N/A</v>
      </c>
      <c r="I1435" s="460" t="e">
        <v>#N/A</v>
      </c>
      <c r="J1435" s="460" t="e">
        <v>#N/A</v>
      </c>
      <c r="K1435" s="460" t="e">
        <v>#N/A</v>
      </c>
      <c r="L1435" s="459" t="e">
        <v>#N/A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komplet okuć (H60)</v>
      </c>
      <c r="C1436" s="185">
        <f t="shared" si="45"/>
        <v>89.955160000000006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477.75</v>
      </c>
      <c r="I1436" s="460">
        <v>20.390219999999999</v>
      </c>
      <c r="J1436" s="460">
        <v>89.955160000000006</v>
      </c>
      <c r="K1436" s="460" t="e">
        <v>#N/A</v>
      </c>
      <c r="L1436" s="459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profil uchwytowy alu elox 2,7m</v>
      </c>
      <c r="C1437" s="185" t="e">
        <f t="shared" si="45"/>
        <v>#N/A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 t="e">
        <v>#N/A</v>
      </c>
      <c r="I1437" s="460" t="e">
        <v>#N/A</v>
      </c>
      <c r="J1437" s="460" t="e">
        <v>#N/A</v>
      </c>
      <c r="K1437" s="460" t="e">
        <v>#N/A</v>
      </c>
      <c r="L1437" s="459" t="e">
        <v>#N/A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profil prowadzący alu elox 1,25m</v>
      </c>
      <c r="C1438" s="185" t="e">
        <f t="shared" si="45"/>
        <v>#N/A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 t="e">
        <v>#N/A</v>
      </c>
      <c r="I1438" s="460" t="e">
        <v>#N/A</v>
      </c>
      <c r="J1438" s="460" t="e">
        <v>#N/A</v>
      </c>
      <c r="K1438" s="460" t="e">
        <v>#N/A</v>
      </c>
      <c r="L1438" s="459" t="e">
        <v>#N/A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komplet okuć 1 skrzydło</v>
      </c>
      <c r="C1439" s="185">
        <f t="shared" si="45"/>
        <v>75.56232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401.31</v>
      </c>
      <c r="I1439" s="460">
        <v>17.127780000000001</v>
      </c>
      <c r="J1439" s="460">
        <v>75.56232</v>
      </c>
      <c r="K1439" s="460" t="e">
        <v>#N/A</v>
      </c>
      <c r="L1439" s="459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górna listwa do zafrezowania aluminium surowe 3m</v>
      </c>
      <c r="C1440" s="185">
        <f t="shared" si="45"/>
        <v>81.758080000000007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81.758080000000007</v>
      </c>
      <c r="K1440" s="460" t="e">
        <v>#N/A</v>
      </c>
      <c r="L1440" s="459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górna listwa do zafrezowania aluminium surowe 2m</v>
      </c>
      <c r="C1441" s="185">
        <f t="shared" si="45"/>
        <v>54.505360000000003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54.505360000000003</v>
      </c>
      <c r="K1441" s="460" t="e">
        <v>#N/A</v>
      </c>
      <c r="L1441" s="459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profil prowadzący anoda 3m</v>
      </c>
      <c r="C1442" s="185">
        <f t="shared" si="45"/>
        <v>40.95628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185.22</v>
      </c>
      <c r="I1442" s="460">
        <v>7.8725300000000002</v>
      </c>
      <c r="J1442" s="460">
        <v>40.95628</v>
      </c>
      <c r="K1442" s="460" t="e">
        <v>#N/A</v>
      </c>
      <c r="L1442" s="459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profil prowadzący anoda 2m</v>
      </c>
      <c r="C1443" s="185">
        <f t="shared" si="45"/>
        <v>27.304449999999999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123.48</v>
      </c>
      <c r="I1443" s="460">
        <v>5.2375499999999997</v>
      </c>
      <c r="J1443" s="460">
        <v>27.304449999999999</v>
      </c>
      <c r="K1443" s="460" t="e">
        <v>#N/A</v>
      </c>
      <c r="L1443" s="459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komplet okuć do drzwiczek aluminiowych 25 kg</v>
      </c>
      <c r="C1444" s="185">
        <f t="shared" si="45"/>
        <v>80.544460000000001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427.77</v>
      </c>
      <c r="I1444" s="460">
        <v>18.257079999999998</v>
      </c>
      <c r="J1444" s="460">
        <v>80.544460000000001</v>
      </c>
      <c r="K1444" s="460" t="e">
        <v>#N/A</v>
      </c>
      <c r="L1444" s="459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komplet okuć do drzwiczek aluminiowych 35 kg</v>
      </c>
      <c r="C1445" s="185">
        <f t="shared" si="45"/>
        <v>84.419460000000001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448.35</v>
      </c>
      <c r="I1445" s="460">
        <v>19.135439999999999</v>
      </c>
      <c r="J1445" s="460">
        <v>84.419460000000001</v>
      </c>
      <c r="K1445" s="460" t="e">
        <v>#N/A</v>
      </c>
      <c r="L1445" s="459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komplet okuć (H40HARD)</v>
      </c>
      <c r="C1446" s="185">
        <f t="shared" si="45"/>
        <v>101.85692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540.96</v>
      </c>
      <c r="I1446" s="460">
        <v>23.088000000000001</v>
      </c>
      <c r="J1446" s="460">
        <v>101.85692</v>
      </c>
      <c r="K1446" s="460" t="e">
        <v>#N/A</v>
      </c>
      <c r="L1446" s="459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 ogranicznik czarny/brązowy</v>
      </c>
      <c r="C1447" s="185">
        <f t="shared" si="45"/>
        <v>1.9375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10.29</v>
      </c>
      <c r="I1447" s="460">
        <v>0.43917</v>
      </c>
      <c r="J1447" s="460">
        <v>1.9375</v>
      </c>
      <c r="K1447" s="460" t="e">
        <v>#N/A</v>
      </c>
      <c r="L1447" s="459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prowadzenie</v>
      </c>
      <c r="C1448" s="185" t="e">
        <f t="shared" si="45"/>
        <v>#N/A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 t="e">
        <v>#N/A</v>
      </c>
      <c r="I1448" s="460" t="e">
        <v>#N/A</v>
      </c>
      <c r="J1448" s="460" t="e">
        <v>#N/A</v>
      </c>
      <c r="K1448" s="460" t="e">
        <v>#N/A</v>
      </c>
      <c r="L1448" s="459" t="e">
        <v>#N/A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S-hamulec S36 (H60) część kompletu S36</v>
      </c>
      <c r="C1449" s="185">
        <f t="shared" si="45"/>
        <v>3.5981999999999998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19.11</v>
      </c>
      <c r="I1449" s="460">
        <v>0.81560999999999995</v>
      </c>
      <c r="J1449" s="460">
        <v>3.5981999999999998</v>
      </c>
      <c r="K1449" s="460" t="e">
        <v>#N/A</v>
      </c>
      <c r="L1449" s="459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zawieszka ścienna (H40/80)</v>
      </c>
      <c r="C1450" s="185" t="e">
        <f t="shared" si="45"/>
        <v>#N/A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 t="e">
        <v>#N/A</v>
      </c>
      <c r="I1450" s="460" t="e">
        <v>#N/A</v>
      </c>
      <c r="J1450" s="460" t="e">
        <v>#N/A</v>
      </c>
      <c r="K1450" s="460" t="e">
        <v>#N/A</v>
      </c>
      <c r="L1450" s="459" t="e">
        <v>#N/A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górna listwa alu elox 2m</v>
      </c>
      <c r="C1451" s="185" t="e">
        <f t="shared" si="45"/>
        <v>#N/A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 t="e">
        <v>#N/A</v>
      </c>
      <c r="I1451" s="460" t="e">
        <v>#N/A</v>
      </c>
      <c r="J1451" s="460" t="e">
        <v>#N/A</v>
      </c>
      <c r="K1451" s="460" t="e">
        <v>#N/A</v>
      </c>
      <c r="L1451" s="459" t="e">
        <v>#N/A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górna listwa alu elox 3m</v>
      </c>
      <c r="C1452" s="185" t="e">
        <f t="shared" si="45"/>
        <v>#N/A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 t="e">
        <v>#N/A</v>
      </c>
      <c r="I1452" s="460" t="e">
        <v>#N/A</v>
      </c>
      <c r="J1452" s="460" t="e">
        <v>#N/A</v>
      </c>
      <c r="K1452" s="460" t="e">
        <v>#N/A</v>
      </c>
      <c r="L1452" s="459" t="e">
        <v>#N/A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górna listwa alu surowa 2m</v>
      </c>
      <c r="C1453" s="185" t="e">
        <f t="shared" si="45"/>
        <v>#N/A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 t="e">
        <v>#N/A</v>
      </c>
      <c r="I1453" s="460" t="e">
        <v>#N/A</v>
      </c>
      <c r="J1453" s="460" t="e">
        <v>#N/A</v>
      </c>
      <c r="K1453" s="460" t="e">
        <v>#N/A</v>
      </c>
      <c r="L1453" s="459" t="e">
        <v>#N/A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profil wodzący alu elox 2,5m</v>
      </c>
      <c r="C1454" s="185" t="e">
        <f t="shared" si="45"/>
        <v>#N/A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 t="e">
        <v>#N/A</v>
      </c>
      <c r="I1454" s="460" t="e">
        <v>#N/A</v>
      </c>
      <c r="J1454" s="460" t="e">
        <v>#N/A</v>
      </c>
      <c r="K1454" s="460" t="e">
        <v>#N/A</v>
      </c>
      <c r="L1454" s="459" t="e">
        <v>#N/A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Klamra ścienna do płyty 16 - 25mm</v>
      </c>
      <c r="C1459" s="185">
        <f t="shared" si="45"/>
        <v>7.9903700000000004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883.74058000000002</v>
      </c>
      <c r="L1459" s="459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SEVROLL 214-694 Herkules II listwa maskująca 1,8m srebrna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komplet okuć 1 skrzydło 20kg</v>
      </c>
      <c r="C1467" s="185">
        <f t="shared" si="45"/>
        <v>32.383859999999999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171.99</v>
      </c>
      <c r="I1467" s="460">
        <v>7.3404699999999998</v>
      </c>
      <c r="J1467" s="460">
        <v>32.383859999999999</v>
      </c>
      <c r="K1467" s="460" t="e">
        <v>#N/A</v>
      </c>
      <c r="L1467" s="459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komplet okuć 1 skrzydło 30 kg</v>
      </c>
      <c r="C1468" s="185">
        <f t="shared" si="45"/>
        <v>47.330240000000003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251.37</v>
      </c>
      <c r="I1468" s="460">
        <v>10.728389999999999</v>
      </c>
      <c r="J1468" s="460">
        <v>47.330240000000003</v>
      </c>
      <c r="K1468" s="460" t="e">
        <v>#N/A</v>
      </c>
      <c r="L1468" s="459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S-S20/30 listwa pojedyńcza stal 2m</v>
      </c>
      <c r="C1469" s="185">
        <f t="shared" si="45"/>
        <v>72.517690000000002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385.14</v>
      </c>
      <c r="I1469" s="460">
        <v>16.437639999999998</v>
      </c>
      <c r="J1469" s="460">
        <v>72.517690000000002</v>
      </c>
      <c r="K1469" s="460" t="e">
        <v>#N/A</v>
      </c>
      <c r="L1469" s="459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 listwa pojedyńcza stal 3m</v>
      </c>
      <c r="C1470" s="185">
        <f t="shared" si="45"/>
        <v>108.77654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577.71</v>
      </c>
      <c r="I1470" s="460">
        <v>24.656469999999999</v>
      </c>
      <c r="J1470" s="460">
        <v>108.77654</v>
      </c>
      <c r="K1470" s="460" t="e">
        <v>#N/A</v>
      </c>
      <c r="L1470" s="459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S-S20/30 alu elox listwa podwójna 2m</v>
      </c>
      <c r="C1471" s="185">
        <f t="shared" si="45"/>
        <v>129.33797999999999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28.86</v>
      </c>
      <c r="J1471" s="460">
        <v>129.33797999999999</v>
      </c>
      <c r="K1471" s="460" t="e">
        <v>#N/A</v>
      </c>
      <c r="L1471" s="459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S-S20/30 alu elox listwa podwójna 3m</v>
      </c>
      <c r="C1472" s="185">
        <f t="shared" si="45"/>
        <v>194.00698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43.29</v>
      </c>
      <c r="J1472" s="460">
        <v>194.00698</v>
      </c>
      <c r="K1472" s="460" t="e">
        <v>#N/A</v>
      </c>
      <c r="L1472" s="459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S-S20/S30 hamulec plastikowy</v>
      </c>
      <c r="C1473" s="185">
        <f t="shared" si="45"/>
        <v>2.21428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11.76</v>
      </c>
      <c r="I1473" s="460">
        <v>0.50190999999999997</v>
      </c>
      <c r="J1473" s="460">
        <v>2.21428</v>
      </c>
      <c r="K1473" s="460" t="e">
        <v>#N/A</v>
      </c>
      <c r="L1473" s="459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odbojnik + 2x wkręt</v>
      </c>
      <c r="C1474" s="185">
        <f t="shared" si="45"/>
        <v>5.5357000000000003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29.4</v>
      </c>
      <c r="I1474" s="460">
        <v>1.25478</v>
      </c>
      <c r="J1474" s="460">
        <v>5.5357000000000003</v>
      </c>
      <c r="K1474" s="460" t="e">
        <v>#N/A</v>
      </c>
      <c r="L1474" s="459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PRZES.WEWN.OKUCIE 1400 - LISTWA GÓRNA 6m</v>
      </c>
      <c r="C1477" s="185" t="e">
        <f t="shared" si="47"/>
        <v>#N/A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 t="e">
        <v>#N/A</v>
      </c>
      <c r="I1477" s="460" t="e">
        <v>#N/A</v>
      </c>
      <c r="J1477" s="460" t="e">
        <v>#N/A</v>
      </c>
      <c r="K1477" s="460" t="e">
        <v>#N/A</v>
      </c>
      <c r="L1477" s="459" t="e">
        <v>#N/A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dolna listwa alu elox (H35/60) 2m</v>
      </c>
      <c r="C1478" s="185" t="e">
        <f t="shared" si="47"/>
        <v>#N/A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 t="e">
        <v>#N/A</v>
      </c>
      <c r="I1478" s="460" t="e">
        <v>#N/A</v>
      </c>
      <c r="J1478" s="460" t="e">
        <v>#N/A</v>
      </c>
      <c r="K1478" s="460" t="e">
        <v>#N/A</v>
      </c>
      <c r="L1478" s="459" t="e">
        <v>#N/A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Hamulec do okucia 1390/1391</v>
      </c>
      <c r="C1479" s="185">
        <f t="shared" si="47"/>
        <v>4.4635800000000003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24.175719999999998</v>
      </c>
      <c r="I1479" s="460">
        <v>1.0063</v>
      </c>
      <c r="J1479" s="460">
        <v>4.4635800000000003</v>
      </c>
      <c r="K1479" s="460" t="e">
        <v>#N/A</v>
      </c>
      <c r="L1479" s="459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LISTWA GÓRNA ALU 1390 / 330cm</v>
      </c>
      <c r="C1480" s="185" t="e">
        <f t="shared" si="47"/>
        <v>#N/A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 t="e">
        <v>#N/A</v>
      </c>
      <c r="I1480" s="460" t="e">
        <v>#N/A</v>
      </c>
      <c r="J1480" s="460" t="e">
        <v>#N/A</v>
      </c>
      <c r="K1480" s="460" t="e">
        <v>#N/A</v>
      </c>
      <c r="L1480" s="459" t="e">
        <v>#N/A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górny 1,2m</v>
      </c>
      <c r="C1481" s="185">
        <f t="shared" si="47"/>
        <v>8.8497400000000006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 t="e">
        <v>#N/A</v>
      </c>
      <c r="L1481" s="459" t="s">
        <v>538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górny 2m</v>
      </c>
      <c r="C1482" s="185">
        <f t="shared" si="47"/>
        <v>14.75882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 t="e">
        <v>#N/A</v>
      </c>
      <c r="L1482" s="459" t="s">
        <v>538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górny 3m</v>
      </c>
      <c r="C1483" s="185">
        <f t="shared" si="47"/>
        <v>22.12434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 t="e">
        <v>#N/A</v>
      </c>
      <c r="L1483" s="459" t="s">
        <v>538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dolny 1,2m</v>
      </c>
      <c r="C1484" s="185">
        <f t="shared" si="47"/>
        <v>9.9177999999999997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 t="e">
        <v>#N/A</v>
      </c>
      <c r="L1484" s="459" t="s">
        <v>538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dolny 2m</v>
      </c>
      <c r="C1485" s="185">
        <f t="shared" si="47"/>
        <v>14.75882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 t="e">
        <v>#N/A</v>
      </c>
      <c r="L1485" s="459" t="s">
        <v>538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dolny 3m</v>
      </c>
      <c r="C1486" s="185">
        <f t="shared" si="47"/>
        <v>22.12434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 t="e">
        <v>#N/A</v>
      </c>
      <c r="L1486" s="459" t="s">
        <v>538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dolny 1,2m</v>
      </c>
      <c r="C1487" s="185">
        <f t="shared" si="47"/>
        <v>9.7236200000000004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 t="e">
        <v>#N/A</v>
      </c>
      <c r="L1487" s="459" t="s">
        <v>538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dolny 2m</v>
      </c>
      <c r="C1488" s="185">
        <f t="shared" si="47"/>
        <v>18.0185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 t="e">
        <v>#N/A</v>
      </c>
      <c r="L1488" s="459" t="s">
        <v>538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dolny 3m</v>
      </c>
      <c r="C1489" s="185">
        <f t="shared" si="47"/>
        <v>24.121770000000001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 t="e">
        <v>#N/A</v>
      </c>
      <c r="L1489" s="459" t="s">
        <v>538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górny wózek okucia przesuwne</v>
      </c>
      <c r="C1490" s="185">
        <f t="shared" si="47"/>
        <v>3.0446300000000002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16.170000000000002</v>
      </c>
      <c r="I1490" s="460">
        <v>0.69011999999999996</v>
      </c>
      <c r="J1490" s="460">
        <v>3.0446300000000002</v>
      </c>
      <c r="K1490" s="460" t="e">
        <v>#N/A</v>
      </c>
      <c r="L1490" s="459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górny wózek do okucia przesuwnego</v>
      </c>
      <c r="C1491" s="185">
        <f t="shared" si="47"/>
        <v>3.0446300000000002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16.170000000000002</v>
      </c>
      <c r="I1491" s="460">
        <v>0.69011999999999996</v>
      </c>
      <c r="J1491" s="460">
        <v>3.0446300000000002</v>
      </c>
      <c r="K1491" s="460" t="e">
        <v>#N/A</v>
      </c>
      <c r="L1491" s="459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komplet okuć do 1 drzwi</v>
      </c>
      <c r="C1492" s="185">
        <f t="shared" si="47"/>
        <v>48.437399999999997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257.25</v>
      </c>
      <c r="I1492" s="460">
        <v>10.979340000000001</v>
      </c>
      <c r="J1492" s="460">
        <v>48.437399999999997</v>
      </c>
      <c r="K1492" s="460" t="e">
        <v>#N/A</v>
      </c>
      <c r="L1492" s="459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S-U profil do laminatu 18mm 3m srebrny</v>
      </c>
      <c r="C1493" s="185" t="e">
        <f t="shared" si="47"/>
        <v>#N/A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 t="e">
        <v>#N/A</v>
      </c>
      <c r="I1493" s="460" t="e">
        <v>#N/A</v>
      </c>
      <c r="J1493" s="460" t="e">
        <v>#N/A</v>
      </c>
      <c r="K1493" s="460" t="e">
        <v>#N/A</v>
      </c>
      <c r="L1493" s="459" t="e">
        <v>#N/A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Górny zacisk T 18 mm</v>
      </c>
      <c r="C1494" s="185">
        <f t="shared" si="47"/>
        <v>0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0</v>
      </c>
      <c r="I1494" s="460">
        <v>0</v>
      </c>
      <c r="J1494" s="460">
        <v>0</v>
      </c>
      <c r="K1494" s="460" t="e">
        <v>#N/A</v>
      </c>
      <c r="L1494" s="459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Zawias lewy (śrubki) H70 18 mm</v>
      </c>
      <c r="C1495" s="185">
        <f t="shared" si="47"/>
        <v>0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0</v>
      </c>
      <c r="I1495" s="460">
        <v>0</v>
      </c>
      <c r="J1495" s="460">
        <v>0</v>
      </c>
      <c r="K1495" s="460" t="e">
        <v>#N/A</v>
      </c>
      <c r="L1495" s="459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Zawias prawy (śrubki) H70 18 mm</v>
      </c>
      <c r="C1496" s="185">
        <f t="shared" si="47"/>
        <v>0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0</v>
      </c>
      <c r="I1496" s="460">
        <v>0</v>
      </c>
      <c r="J1496" s="460">
        <v>0</v>
      </c>
      <c r="K1496" s="460" t="e">
        <v>#N/A</v>
      </c>
      <c r="L1496" s="459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/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rączka 2,8m jasny brąz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/>
      </c>
      <c r="C1505" s="185" t="e">
        <f t="shared" si="47"/>
        <v>#N/A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 t="e">
        <v>#N/A</v>
      </c>
      <c r="I1505" s="460" t="e">
        <v>#N/A</v>
      </c>
      <c r="J1505" s="460" t="e">
        <v>#N/A</v>
      </c>
      <c r="K1505" s="460" t="e">
        <v>#N/A</v>
      </c>
      <c r="L1505" s="459" t="e">
        <v>#N/A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/>
      </c>
      <c r="C1506" s="185" t="e">
        <f t="shared" si="47"/>
        <v>#N/A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 t="e">
        <v>#N/A</v>
      </c>
      <c r="I1506" s="460" t="e">
        <v>#N/A</v>
      </c>
      <c r="J1506" s="460" t="e">
        <v>#N/A</v>
      </c>
      <c r="K1506" s="460" t="e">
        <v>#N/A</v>
      </c>
      <c r="L1506" s="459" t="e">
        <v>#N/A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SEVROLL 222883 gąbka do usuwania drobnych zarysowań na srebrnych alu profilach</v>
      </c>
      <c r="C1507" s="185" t="e">
        <f t="shared" si="47"/>
        <v>#N/A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 t="e">
        <v>#N/A</v>
      </c>
      <c r="I1507" s="460" t="e">
        <v>#N/A</v>
      </c>
      <c r="J1507" s="460" t="e">
        <v>#N/A</v>
      </c>
      <c r="K1507" s="460" t="e">
        <v>#N/A</v>
      </c>
      <c r="L1507" s="459" t="e">
        <v>#N/A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zestaw do 2 skrzydeł z pełnym tłumieniem,8 szt. tłumienia,80kg</v>
      </c>
      <c r="C1508" s="185">
        <f t="shared" si="47"/>
        <v>369.92514999999997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 t="e">
        <v>#N/A</v>
      </c>
      <c r="L1508" s="459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zestaw do 3 skrzydeł z pełnym tłumieniem, antykolizyjny</v>
      </c>
      <c r="C1509" s="185">
        <f t="shared" si="47"/>
        <v>485.24538000000001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 t="e">
        <v>#N/A</v>
      </c>
      <c r="L1509" s="459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tor górny anodowany 2 m</v>
      </c>
      <c r="C1510" s="185">
        <f t="shared" si="47"/>
        <v>50.726379999999999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16.426559999999998</v>
      </c>
      <c r="J1510" s="460">
        <v>50.726379999999999</v>
      </c>
      <c r="K1510" s="460" t="e">
        <v>#N/A</v>
      </c>
      <c r="L1510" s="459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tor górny anodowany 3 m</v>
      </c>
      <c r="C1511" s="185">
        <f t="shared" si="47"/>
        <v>83.616829999999993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25.427420000000001</v>
      </c>
      <c r="J1511" s="460">
        <v>83.616829999999993</v>
      </c>
      <c r="K1511" s="460" t="e">
        <v>#N/A</v>
      </c>
      <c r="L1511" s="459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tor górny anodowany 4 m</v>
      </c>
      <c r="C1512" s="185">
        <f t="shared" si="47"/>
        <v>101.45274999999999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32.818939999999998</v>
      </c>
      <c r="J1512" s="460">
        <v>101.45274999999999</v>
      </c>
      <c r="K1512" s="460" t="e">
        <v>#N/A</v>
      </c>
      <c r="L1512" s="459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tor dolny anodowany 2 m</v>
      </c>
      <c r="C1513" s="185">
        <f t="shared" si="47"/>
        <v>62.039479999999998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20.046530000000001</v>
      </c>
      <c r="J1513" s="460">
        <v>62.039479999999998</v>
      </c>
      <c r="K1513" s="460" t="e">
        <v>#N/A</v>
      </c>
      <c r="L1513" s="459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tor dolny anodowany 3 m</v>
      </c>
      <c r="C1514" s="185">
        <f t="shared" si="47"/>
        <v>102.04992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30.991879999999998</v>
      </c>
      <c r="J1514" s="460">
        <v>102.04992</v>
      </c>
      <c r="K1514" s="460" t="e">
        <v>#N/A</v>
      </c>
      <c r="L1514" s="459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tor dolny anodowany 4 m</v>
      </c>
      <c r="C1515" s="185">
        <f t="shared" si="47"/>
        <v>124.07883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40.161380000000001</v>
      </c>
      <c r="J1515" s="460">
        <v>124.07883</v>
      </c>
      <c r="K1515" s="460" t="e">
        <v>#N/A</v>
      </c>
      <c r="L1515" s="459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profil maskujący do drzwi zewnętrznych, anodowany, 2 m</v>
      </c>
      <c r="C1516" s="185">
        <f t="shared" si="47"/>
        <v>46.34713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15.460699999999999</v>
      </c>
      <c r="J1516" s="460">
        <v>46.34713</v>
      </c>
      <c r="K1516" s="460" t="e">
        <v>#N/A</v>
      </c>
      <c r="L1516" s="459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S-brush stop niski z klejem 4,8*5mm szary</v>
      </c>
      <c r="C1519" s="185" t="e">
        <f t="shared" si="47"/>
        <v>#N/A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 t="e">
        <v>#N/A</v>
      </c>
      <c r="I1519" s="460" t="e">
        <v>#N/A</v>
      </c>
      <c r="J1519" s="460" t="e">
        <v>#N/A</v>
      </c>
      <c r="K1519" s="460" t="e">
        <v>#N/A</v>
      </c>
      <c r="L1519" s="459" t="e">
        <v>#N/A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komplet okuć do 1 drzwi</v>
      </c>
      <c r="C1520" s="185">
        <f t="shared" si="47"/>
        <v>48.437399999999997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257.25</v>
      </c>
      <c r="I1520" s="460">
        <v>10.979340000000001</v>
      </c>
      <c r="J1520" s="460">
        <v>48.437399999999997</v>
      </c>
      <c r="K1520" s="460" t="e">
        <v>#N/A</v>
      </c>
      <c r="L1520" s="459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S-profil dzielący "T" 3m elox srebrny</v>
      </c>
      <c r="C1521" s="185" t="e">
        <f t="shared" si="47"/>
        <v>#N/A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 t="e">
        <v>#N/A</v>
      </c>
      <c r="I1521" s="460" t="e">
        <v>#N/A</v>
      </c>
      <c r="J1521" s="460" t="e">
        <v>#N/A</v>
      </c>
      <c r="K1521" s="460" t="e">
        <v>#N/A</v>
      </c>
      <c r="L1521" s="459" t="e">
        <v>#N/A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tor górny 2,35 m czarny mat</v>
      </c>
      <c r="C1522" s="185">
        <f t="shared" si="47"/>
        <v>103.20359999999999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9795.3803599999992</v>
      </c>
      <c r="L1522" s="459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tor górny 4,05 m czarny mat</v>
      </c>
      <c r="C1523" s="185">
        <f t="shared" si="47"/>
        <v>177.9186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16876.499019999999</v>
      </c>
      <c r="L1523" s="459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tor dolny 4,05 m czarny mat</v>
      </c>
      <c r="C1524" s="185">
        <f t="shared" si="47"/>
        <v>96.930599999999998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9875.5060699999995</v>
      </c>
      <c r="L1524" s="459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tor dolny 2,35 m czarny mat</v>
      </c>
      <c r="C1525" s="185">
        <f t="shared" si="47"/>
        <v>56.242800000000003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5739.01116</v>
      </c>
      <c r="L1525" s="459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zaślepka do toru Elegant II 2,35m czarny mat</v>
      </c>
      <c r="C1526" s="185">
        <f t="shared" si="47"/>
        <v>16.870799999999999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1772.7836600000001</v>
      </c>
      <c r="L1526" s="459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zaślepka do toru Elegant II 4,05m czarny mat</v>
      </c>
      <c r="C1527" s="185">
        <f t="shared" si="47"/>
        <v>29.07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3054.79655</v>
      </c>
      <c r="L1527" s="459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kątownik Mini 17x11 mm 2,35 m czarny mat</v>
      </c>
      <c r="C1528" s="185">
        <f t="shared" si="47"/>
        <v>16.901399999999999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1692.6579200000001</v>
      </c>
      <c r="L1528" s="459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listwa łącząca H18 3m czarny mat</v>
      </c>
      <c r="C1529" s="185">
        <f t="shared" si="47"/>
        <v>62.464799999999997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5999.42029</v>
      </c>
      <c r="L1529" s="459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
20334-SV szczotka odbojowa wsuwana 14x4mm czarna</v>
      </c>
      <c r="C1530" s="185">
        <f t="shared" si="47"/>
        <v>1.43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149.05521999999999</v>
      </c>
      <c r="L1530" s="459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szczotka odbojowa wsuwana 4,8x4mm czarna</v>
      </c>
      <c r="C1531" s="185">
        <f t="shared" si="47"/>
        <v>0.59360000000000002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61.50817</v>
      </c>
      <c r="L1531" s="459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S04 srebrny elox 2,7m</v>
      </c>
      <c r="C1537" s="185" t="e">
        <f t="shared" si="47"/>
        <v>#N/A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 t="e">
        <v>#N/A</v>
      </c>
      <c r="I1537" s="460" t="e">
        <v>#N/A</v>
      </c>
      <c r="J1537" s="460" t="e">
        <v>#N/A</v>
      </c>
      <c r="K1537" s="460" t="e">
        <v>#N/A</v>
      </c>
      <c r="L1537" s="459" t="e">
        <v>#N/A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ZR-18 Unicomfort zestaw do drzwi rozwieranych</v>
      </c>
      <c r="C1538" s="185">
        <f t="shared" si="47"/>
        <v>106.2534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11718.3999</v>
      </c>
      <c r="L1538" s="459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komplet okuć do ramek aluminiowych</v>
      </c>
      <c r="C1540" s="185" t="e">
        <f t="shared" ref="C1540:C1603" si="49">IF($A$2=1,H1540,IF($A$2=2,I1540,IF($A$2=3,J1540,IF($A$2=4,K1540,IF($A$2&gt;4,O1540,"zadat jazyk")))))</f>
        <v>#N/A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 t="e">
        <v>#N/A</v>
      </c>
      <c r="I1540" s="460" t="e">
        <v>#N/A</v>
      </c>
      <c r="J1540" s="460" t="e">
        <v>#N/A</v>
      </c>
      <c r="K1540" s="460" t="e">
        <v>#N/A</v>
      </c>
      <c r="L1540" s="459" t="e">
        <v>#N/A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IC-rączka Exclusive 10mm 2,7m srebrna</v>
      </c>
      <c r="C1541" s="185" t="e">
        <f t="shared" si="49"/>
        <v>#N/A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 t="e">
        <v>#N/A</v>
      </c>
      <c r="I1541" s="460" t="e">
        <v>#N/A</v>
      </c>
      <c r="J1541" s="460" t="e">
        <v>#N/A</v>
      </c>
      <c r="K1541" s="460" t="e">
        <v>#N/A</v>
      </c>
      <c r="L1541" s="459" t="e">
        <v>#N/A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IC-Górna listwa torowa 10mm 2m srebrna</v>
      </c>
      <c r="C1542" s="185" t="e">
        <f t="shared" si="49"/>
        <v>#N/A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 t="e">
        <v>#N/A</v>
      </c>
      <c r="I1542" s="460" t="e">
        <v>#N/A</v>
      </c>
      <c r="J1542" s="460" t="e">
        <v>#N/A</v>
      </c>
      <c r="K1542" s="460" t="e">
        <v>#N/A</v>
      </c>
      <c r="L1542" s="459" t="e">
        <v>#N/A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IC-Dolna listwa maskująca  10mm 2m srebrna</v>
      </c>
      <c r="C1543" s="185" t="e">
        <f t="shared" si="49"/>
        <v>#N/A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 t="e">
        <v>#N/A</v>
      </c>
      <c r="I1543" s="460" t="e">
        <v>#N/A</v>
      </c>
      <c r="J1543" s="460" t="e">
        <v>#N/A</v>
      </c>
      <c r="K1543" s="460" t="e">
        <v>#N/A</v>
      </c>
      <c r="L1543" s="459" t="e">
        <v>#N/A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komplet okuć do 2 skrzydeł z tłumieniem 40kg</v>
      </c>
      <c r="C1544" s="185">
        <f t="shared" si="49"/>
        <v>166.16825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 t="e">
        <v>#N/A</v>
      </c>
      <c r="L1544" s="459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komplet okuć do 3 skrzydeł z tłumieniem 40kg</v>
      </c>
      <c r="C1545" s="185">
        <f t="shared" si="49"/>
        <v>220.66565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 t="e">
        <v>#N/A</v>
      </c>
      <c r="L1545" s="459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górny/dolny tor  elox 1,5m</v>
      </c>
      <c r="C1546" s="185">
        <f t="shared" si="49"/>
        <v>17.097370000000002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4.8248600000000001</v>
      </c>
      <c r="J1546" s="460">
        <v>17.097370000000002</v>
      </c>
      <c r="K1546" s="460" t="e">
        <v>#N/A</v>
      </c>
      <c r="L1546" s="459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górny/dolny tor  elox 2m</v>
      </c>
      <c r="C1547" s="185">
        <f t="shared" si="49"/>
        <v>26.848220000000001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 t="e">
        <v>#N/A</v>
      </c>
      <c r="L1547" s="459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górny/dolny tor  elox 3m</v>
      </c>
      <c r="C1548" s="185">
        <f t="shared" si="49"/>
        <v>34.19473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9.6145200000000006</v>
      </c>
      <c r="J1548" s="460">
        <v>34.19473</v>
      </c>
      <c r="K1548" s="460" t="e">
        <v>#N/A</v>
      </c>
      <c r="L1548" s="459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dwustronne tłumienie środkowe</v>
      </c>
      <c r="C1549" s="185">
        <f t="shared" si="49"/>
        <v>80.894499999999994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 t="e">
        <v>#N/A</v>
      </c>
      <c r="L1549" s="459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komplet okuć do jednego skrzydła 30kg</v>
      </c>
      <c r="C1550" s="185">
        <f t="shared" si="49"/>
        <v>38.804499999999997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9.4223999999999997</v>
      </c>
      <c r="J1550" s="460">
        <v>38.804499999999997</v>
      </c>
      <c r="K1550" s="460" t="e">
        <v>#N/A</v>
      </c>
      <c r="L1550" s="459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tor górny/dolny 1,2m elox</v>
      </c>
      <c r="C1551" s="185">
        <f t="shared" si="49"/>
        <v>18.34825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4.9896000000000003</v>
      </c>
      <c r="J1551" s="460">
        <v>18.34825</v>
      </c>
      <c r="K1551" s="460" t="e">
        <v>#N/A</v>
      </c>
      <c r="L1551" s="459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tor górny/dolny 2m elox</v>
      </c>
      <c r="C1552" s="185">
        <f t="shared" si="49"/>
        <v>30.58042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8.3160000000000007</v>
      </c>
      <c r="J1552" s="460">
        <v>30.58042</v>
      </c>
      <c r="K1552" s="460" t="e">
        <v>#N/A</v>
      </c>
      <c r="L1552" s="459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tor górny/dolny 3m elox</v>
      </c>
      <c r="C1553" s="185">
        <f t="shared" si="49"/>
        <v>45.870600000000003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12.474</v>
      </c>
      <c r="J1553" s="460">
        <v>45.870600000000003</v>
      </c>
      <c r="K1553" s="460" t="e">
        <v>#N/A</v>
      </c>
      <c r="L1553" s="459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tor górny/podwójny dolny  1,2m elox</v>
      </c>
      <c r="C1554" s="185">
        <f t="shared" si="49"/>
        <v>78.635339999999999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21.384</v>
      </c>
      <c r="J1554" s="460">
        <v>78.635339999999999</v>
      </c>
      <c r="K1554" s="460" t="e">
        <v>#N/A</v>
      </c>
      <c r="L1554" s="459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tor górny/podwójny dolny 2m elox</v>
      </c>
      <c r="C1555" s="185">
        <f t="shared" si="49"/>
        <v>131.05889999999999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35.64</v>
      </c>
      <c r="J1555" s="460">
        <v>131.05889999999999</v>
      </c>
      <c r="K1555" s="460" t="e">
        <v>#N/A</v>
      </c>
      <c r="L1555" s="459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tor górny/podwójny dolny 3m elox</v>
      </c>
      <c r="C1556" s="185">
        <f t="shared" si="49"/>
        <v>196.58833999999999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53.46</v>
      </c>
      <c r="J1556" s="460">
        <v>196.58833999999999</v>
      </c>
      <c r="K1556" s="460" t="e">
        <v>#N/A</v>
      </c>
      <c r="L1556" s="459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záslepka toru podwójnego 3m</v>
      </c>
      <c r="C1557" s="185">
        <f t="shared" si="49"/>
        <v>14.64805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3.5568</v>
      </c>
      <c r="J1557" s="460">
        <v>14.64805</v>
      </c>
      <c r="K1557" s="460" t="e">
        <v>#N/A</v>
      </c>
      <c r="L1557" s="459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zestaw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/>
      </c>
      <c r="C1569" s="185" t="e">
        <f t="shared" si="49"/>
        <v>#N/A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 t="e">
        <v>#N/A</v>
      </c>
      <c r="I1569" s="460" t="e">
        <v>#N/A</v>
      </c>
      <c r="J1569" s="460" t="e">
        <v>#N/A</v>
      </c>
      <c r="K1569" s="460" t="e">
        <v>#N/A</v>
      </c>
      <c r="L1569" s="459" t="e">
        <v>#N/A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/>
      </c>
      <c r="C1570" s="185" t="e">
        <f t="shared" si="49"/>
        <v>#N/A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 t="e">
        <v>#N/A</v>
      </c>
      <c r="I1570" s="460" t="e">
        <v>#N/A</v>
      </c>
      <c r="J1570" s="460" t="e">
        <v>#N/A</v>
      </c>
      <c r="K1570" s="460" t="e">
        <v>#N/A</v>
      </c>
      <c r="L1570" s="459" t="e">
        <v>#N/A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/>
      </c>
      <c r="C1571" s="185" t="e">
        <f t="shared" si="49"/>
        <v>#N/A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 t="e">
        <v>#N/A</v>
      </c>
      <c r="I1571" s="460" t="e">
        <v>#N/A</v>
      </c>
      <c r="J1571" s="460" t="e">
        <v>#N/A</v>
      </c>
      <c r="K1571" s="460" t="e">
        <v>#N/A</v>
      </c>
      <c r="L1571" s="459" t="e">
        <v>#N/A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Tor dolny 2,35 m srebrny</v>
      </c>
      <c r="C1574" s="185" t="e">
        <f t="shared" si="49"/>
        <v>#N/A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 t="e">
        <v>#N/A</v>
      </c>
      <c r="I1574" s="460" t="e">
        <v>#N/A</v>
      </c>
      <c r="J1574" s="460" t="e">
        <v>#N/A</v>
      </c>
      <c r="K1574" s="460" t="e">
        <v>#N/A</v>
      </c>
      <c r="L1574" s="459" t="e">
        <v>#N/A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Tor dolny 3m srebrny</v>
      </c>
      <c r="C1575" s="185">
        <f t="shared" si="49"/>
        <v>100.9392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10366.276830000001</v>
      </c>
      <c r="L1575" s="459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01495 Comfort Tor dolny 4,05 m srebrny</v>
      </c>
      <c r="C1576" s="185" t="e">
        <f t="shared" si="49"/>
        <v>#N/A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 t="e">
        <v>#N/A</v>
      </c>
      <c r="I1576" s="460" t="e">
        <v>#N/A</v>
      </c>
      <c r="J1576" s="460" t="e">
        <v>#N/A</v>
      </c>
      <c r="K1576" s="460" t="e">
        <v>#N/A</v>
      </c>
      <c r="L1576" s="459" t="e">
        <v>#N/A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/>
      </c>
      <c r="C1577" s="185" t="e">
        <f t="shared" si="49"/>
        <v>#N/A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 t="e">
        <v>#N/A</v>
      </c>
      <c r="I1577" s="460" t="e">
        <v>#N/A</v>
      </c>
      <c r="J1577" s="460" t="e">
        <v>#N/A</v>
      </c>
      <c r="K1577" s="460" t="e">
        <v>#N/A</v>
      </c>
      <c r="L1577" s="459" t="e">
        <v>#N/A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/>
      </c>
      <c r="C1578" s="185" t="e">
        <f t="shared" si="49"/>
        <v>#N/A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 t="e">
        <v>#N/A</v>
      </c>
      <c r="I1578" s="460" t="e">
        <v>#N/A</v>
      </c>
      <c r="J1578" s="460" t="e">
        <v>#N/A</v>
      </c>
      <c r="K1578" s="460" t="e">
        <v>#N/A</v>
      </c>
      <c r="L1578" s="459" t="e">
        <v>#N/A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/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0</v>
      </c>
      <c r="I1581" s="460">
        <v>0</v>
      </c>
      <c r="J1581" s="460">
        <v>0</v>
      </c>
      <c r="K1581" s="460">
        <v>0</v>
      </c>
      <c r="L1581" s="459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maskownica dolna Simple/Blue 2m (18mm) jasny brąz 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/>
      </c>
      <c r="C1583" s="185" t="e">
        <f t="shared" si="49"/>
        <v>#N/A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 t="e">
        <v>#N/A</v>
      </c>
      <c r="I1583" s="460" t="e">
        <v>#N/A</v>
      </c>
      <c r="J1583" s="460" t="e">
        <v>#N/A</v>
      </c>
      <c r="K1583" s="460" t="e">
        <v>#N/A</v>
      </c>
      <c r="L1583" s="459" t="e">
        <v>#N/A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/>
      </c>
      <c r="C1584" s="185" t="e">
        <f t="shared" si="49"/>
        <v>#N/A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 t="e">
        <v>#N/A</v>
      </c>
      <c r="I1584" s="460" t="e">
        <v>#N/A</v>
      </c>
      <c r="J1584" s="460" t="e">
        <v>#N/A</v>
      </c>
      <c r="K1584" s="460" t="e">
        <v>#N/A</v>
      </c>
      <c r="L1584" s="459" t="e">
        <v>#N/A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/>
      </c>
      <c r="C1585" s="185" t="e">
        <f t="shared" si="49"/>
        <v>#N/A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 t="e">
        <v>#N/A</v>
      </c>
      <c r="I1585" s="460" t="e">
        <v>#N/A</v>
      </c>
      <c r="J1585" s="460" t="e">
        <v>#N/A</v>
      </c>
      <c r="K1585" s="460" t="e">
        <v>#N/A</v>
      </c>
      <c r="L1585" s="459" t="e">
        <v>#N/A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/>
      </c>
      <c r="C1586" s="185" t="e">
        <f t="shared" si="49"/>
        <v>#N/A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 t="e">
        <v>#N/A</v>
      </c>
      <c r="I1586" s="460" t="e">
        <v>#N/A</v>
      </c>
      <c r="J1586" s="460" t="e">
        <v>#N/A</v>
      </c>
      <c r="K1586" s="460" t="e">
        <v>#N/A</v>
      </c>
      <c r="L1586" s="459" t="e">
        <v>#N/A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komplet okuć</v>
      </c>
      <c r="C1588" s="185" t="e">
        <f t="shared" si="49"/>
        <v>#N/A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 t="e">
        <v>#N/A</v>
      </c>
      <c r="I1588" s="460" t="e">
        <v>#N/A</v>
      </c>
      <c r="J1588" s="460" t="e">
        <v>#N/A</v>
      </c>
      <c r="K1588" s="460" t="e">
        <v>#N/A</v>
      </c>
      <c r="L1588" s="459" t="e">
        <v>#N/A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S-profil dzielący "T" 2m srebrny</v>
      </c>
      <c r="C1589" s="185" t="e">
        <f t="shared" si="49"/>
        <v>#N/A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 t="e">
        <v>#N/A</v>
      </c>
      <c r="I1589" s="460" t="e">
        <v>#N/A</v>
      </c>
      <c r="J1589" s="460" t="e">
        <v>#N/A</v>
      </c>
      <c r="K1589" s="460" t="e">
        <v>#N/A</v>
      </c>
      <c r="L1589" s="459" t="e">
        <v>#N/A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S-kątownik S07 2m srebrny</v>
      </c>
      <c r="C1590" s="185" t="e">
        <f t="shared" si="49"/>
        <v>#N/A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 t="e">
        <v>#N/A</v>
      </c>
      <c r="I1590" s="460" t="e">
        <v>#N/A</v>
      </c>
      <c r="J1590" s="460" t="e">
        <v>#N/A</v>
      </c>
      <c r="K1590" s="460" t="e">
        <v>#N/A</v>
      </c>
      <c r="L1590" s="459" t="e">
        <v>#N/A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S-kątownik S07 3m srebrny</v>
      </c>
      <c r="C1591" s="185" t="e">
        <f t="shared" si="49"/>
        <v>#N/A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 t="e">
        <v>#N/A</v>
      </c>
      <c r="I1591" s="460" t="e">
        <v>#N/A</v>
      </c>
      <c r="J1591" s="460" t="e">
        <v>#N/A</v>
      </c>
      <c r="K1591" s="460" t="e">
        <v>#N/A</v>
      </c>
      <c r="L1591" s="459" t="e">
        <v>#N/A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dolny profil prowadzący alu 3,5m</v>
      </c>
      <c r="C1592" s="185" t="e">
        <f t="shared" si="49"/>
        <v>#N/A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 t="e">
        <v>#N/A</v>
      </c>
      <c r="I1592" s="460" t="e">
        <v>#N/A</v>
      </c>
      <c r="J1592" s="460" t="e">
        <v>#N/A</v>
      </c>
      <c r="K1592" s="460" t="e">
        <v>#N/A</v>
      </c>
      <c r="L1592" s="459" t="e">
        <v>#N/A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 S12 2,7m srebrny elox</v>
      </c>
      <c r="C1593" s="185">
        <f t="shared" si="49"/>
        <v>130.089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690.9</v>
      </c>
      <c r="I1593" s="460">
        <v>29.487390000000001</v>
      </c>
      <c r="J1593" s="460">
        <v>130.089</v>
      </c>
      <c r="K1593" s="460" t="e">
        <v>#N/A</v>
      </c>
      <c r="L1593" s="459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górna listwa alu 3m</v>
      </c>
      <c r="C1594" s="185" t="e">
        <f t="shared" si="49"/>
        <v>#N/A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 t="e">
        <v>#N/A</v>
      </c>
      <c r="I1594" s="460" t="e">
        <v>#N/A</v>
      </c>
      <c r="J1594" s="460" t="e">
        <v>#N/A</v>
      </c>
      <c r="K1594" s="460" t="e">
        <v>#N/A</v>
      </c>
      <c r="L1594" s="459" t="e">
        <v>#N/A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dolny profil 3,5m jasny brąz</v>
      </c>
      <c r="C1599" s="185" t="e">
        <f t="shared" si="49"/>
        <v>#N/A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 t="e">
        <v>#N/A</v>
      </c>
      <c r="I1599" s="460" t="e">
        <v>#N/A</v>
      </c>
      <c r="J1599" s="460" t="e">
        <v>#N/A</v>
      </c>
      <c r="K1599" s="460" t="e">
        <v>#N/A</v>
      </c>
      <c r="L1599" s="459" t="e">
        <v>#N/A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profl maskujący 3,5m jasny brąz</v>
      </c>
      <c r="C1600" s="185" t="e">
        <f t="shared" si="49"/>
        <v>#N/A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 t="e">
        <v>#N/A</v>
      </c>
      <c r="I1600" s="460" t="e">
        <v>#N/A</v>
      </c>
      <c r="J1600" s="460" t="e">
        <v>#N/A</v>
      </c>
      <c r="K1600" s="460" t="e">
        <v>#N/A</v>
      </c>
      <c r="L1600" s="459" t="e">
        <v>#N/A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górny profil prowadzący 3,5m jasny brąz</v>
      </c>
      <c r="C1601" s="185" t="e">
        <f t="shared" si="49"/>
        <v>#N/A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 t="e">
        <v>#N/A</v>
      </c>
      <c r="I1601" s="460" t="e">
        <v>#N/A</v>
      </c>
      <c r="J1601" s="460" t="e">
        <v>#N/A</v>
      </c>
      <c r="K1601" s="460" t="e">
        <v>#N/A</v>
      </c>
      <c r="L1601" s="459" t="e">
        <v>#N/A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S-profil dzielący "T" 2m jasny brąz</v>
      </c>
      <c r="C1602" s="185" t="e">
        <f t="shared" si="49"/>
        <v>#N/A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 t="e">
        <v>#N/A</v>
      </c>
      <c r="I1602" s="460" t="e">
        <v>#N/A</v>
      </c>
      <c r="J1602" s="460" t="e">
        <v>#N/A</v>
      </c>
      <c r="K1602" s="460" t="e">
        <v>#N/A</v>
      </c>
      <c r="L1602" s="459" t="e">
        <v>#N/A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S-profil dzielący "T" 3m jasny brąz</v>
      </c>
      <c r="C1603" s="185" t="e">
        <f t="shared" si="49"/>
        <v>#N/A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 t="e">
        <v>#N/A</v>
      </c>
      <c r="I1603" s="460" t="e">
        <v>#N/A</v>
      </c>
      <c r="J1603" s="460" t="e">
        <v>#N/A</v>
      </c>
      <c r="K1603" s="460" t="e">
        <v>#N/A</v>
      </c>
      <c r="L1603" s="459" t="e">
        <v>#N/A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jasny brąz 2,7m</v>
      </c>
      <c r="C1604" s="185" t="e">
        <f t="shared" ref="C1604:C1667" si="51">IF($A$2=1,H1604,IF($A$2=2,I1604,IF($A$2=3,J1604,IF($A$2=4,K1604,IF($A$2&gt;4,O1604,"zadat jazyk")))))</f>
        <v>#N/A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 t="e">
        <v>#N/A</v>
      </c>
      <c r="I1604" s="460" t="e">
        <v>#N/A</v>
      </c>
      <c r="J1604" s="460" t="e">
        <v>#N/A</v>
      </c>
      <c r="K1604" s="460" t="e">
        <v>#N/A</v>
      </c>
      <c r="L1604" s="459" t="e">
        <v>#N/A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dolny profil 2m elox srebrny</v>
      </c>
      <c r="C1611" s="185" t="e">
        <f t="shared" si="51"/>
        <v>#N/A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 t="e">
        <v>#N/A</v>
      </c>
      <c r="I1611" s="460" t="e">
        <v>#N/A</v>
      </c>
      <c r="J1611" s="460" t="e">
        <v>#N/A</v>
      </c>
      <c r="K1611" s="460" t="e">
        <v>#N/A</v>
      </c>
      <c r="L1611" s="459" t="e">
        <v>#N/A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profile "U" Mini 36 do DTD 2x18 mm srebrny 3 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wzmocnienie 2690mm</v>
      </c>
      <c r="C1618" s="185">
        <f t="shared" si="51"/>
        <v>32.338569999999997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799</v>
      </c>
      <c r="I1618" s="460">
        <v>32.700000000000003</v>
      </c>
      <c r="J1618" s="460">
        <v>32.338569999999997</v>
      </c>
      <c r="K1618" s="460" t="e">
        <v>#N/A</v>
      </c>
      <c r="L1618" s="459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Gemini tor górny 2,35 m czarny połysk</v>
      </c>
      <c r="C1619" s="185">
        <f t="shared" si="51"/>
        <v>103.20359999999999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9795.3803599999992</v>
      </c>
      <c r="L1619" s="459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Elegant II tor dolny 2,35 m czarny połysk</v>
      </c>
      <c r="C1620" s="185">
        <f t="shared" si="51"/>
        <v>56.242800000000003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5739.01116</v>
      </c>
      <c r="L1620" s="459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zaślepka do toru Elegant II 2,35m czarny połysk</v>
      </c>
      <c r="C1621" s="185">
        <f t="shared" si="51"/>
        <v>16.870799999999999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1772.7836600000001</v>
      </c>
      <c r="L1621" s="459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tłumienie środkowe obustronne + dolne antykolizyjne</v>
      </c>
      <c r="C1622" s="185">
        <f t="shared" si="51"/>
        <v>108.99469999999999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 t="e">
        <v>#N/A</v>
      </c>
      <c r="L1622" s="459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zestaw do 3 skrzydeł z pełnym tłumieniem, antykolizyjny</v>
      </c>
      <c r="C1623" s="185">
        <f t="shared" si="51"/>
        <v>0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0</v>
      </c>
      <c r="I1623" s="460">
        <v>0</v>
      </c>
      <c r="J1623" s="460">
        <v>0</v>
      </c>
      <c r="K1623" s="460" t="e">
        <v>#N/A</v>
      </c>
      <c r="L1623" s="459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zestaw okuc do drzwi wewnętrznych</v>
      </c>
      <c r="C1624" s="185" t="e">
        <f t="shared" si="51"/>
        <v>#N/A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 t="e">
        <v>#N/A</v>
      </c>
      <c r="I1624" s="460" t="e">
        <v>#N/A</v>
      </c>
      <c r="J1624" s="460" t="e">
        <v>#N/A</v>
      </c>
      <c r="K1624" s="460" t="e">
        <v>#N/A</v>
      </c>
      <c r="L1624" s="459" t="e">
        <v>#N/A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wózek do drzwi wewnętrznych Simple 18 Inter / Galaxy 35 / 50kg</v>
      </c>
      <c r="C1625" s="185">
        <f t="shared" si="51"/>
        <v>29.475570000000001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3260.0208299999999</v>
      </c>
      <c r="L1625" s="459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tłumienie do drzwi wewnętrznych  Simple 18 Galaxy 50kg</v>
      </c>
      <c r="C1626" s="185">
        <f t="shared" si="51"/>
        <v>86.651060000000001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9583.67533</v>
      </c>
      <c r="L1626" s="459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zestaw okuć do drzwi wewnętrznych Simple 18 Inter/Galaxy 50kg</v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0</v>
      </c>
      <c r="I1627" s="460">
        <v>0</v>
      </c>
      <c r="J1627" s="460">
        <v>0</v>
      </c>
      <c r="K1627" s="460">
        <v>0</v>
      </c>
      <c r="L1627" s="459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listwa maskująca Herkules II 2m srebrna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listwa maskująca Herkules Wood 2m srebrna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219-036 Herkules Zestaw listew maskujących + zaslepki i szczotka 2,01m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srebrny elox 2,7m</v>
      </c>
      <c r="C1635" s="185">
        <f t="shared" si="51"/>
        <v>129.81219999999999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689.43</v>
      </c>
      <c r="I1635" s="460">
        <v>29.42464</v>
      </c>
      <c r="J1635" s="460">
        <v>129.81219999999999</v>
      </c>
      <c r="K1635" s="460" t="e">
        <v>#N/A</v>
      </c>
      <c r="L1635" s="459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górny i środkowy profil 4/18mm 6m srebrny</v>
      </c>
      <c r="C1636" s="185" t="e">
        <f t="shared" si="51"/>
        <v>#N/A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 t="e">
        <v>#N/A</v>
      </c>
      <c r="I1636" s="460" t="e">
        <v>#N/A</v>
      </c>
      <c r="J1636" s="460" t="e">
        <v>#N/A</v>
      </c>
      <c r="K1636" s="460" t="e">
        <v>#N/A</v>
      </c>
      <c r="L1636" s="459" t="e">
        <v>#N/A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dolny profil 4/18mm 6m srebrny</v>
      </c>
      <c r="C1637" s="185" t="e">
        <f t="shared" si="51"/>
        <v>#N/A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 t="e">
        <v>#N/A</v>
      </c>
      <c r="I1637" s="460" t="e">
        <v>#N/A</v>
      </c>
      <c r="J1637" s="460" t="e">
        <v>#N/A</v>
      </c>
      <c r="K1637" s="460" t="e">
        <v>#N/A</v>
      </c>
      <c r="L1637" s="459" t="e">
        <v>#N/A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dolny profil prowadzący 6m srebrny</v>
      </c>
      <c r="C1638" s="185" t="e">
        <f t="shared" si="51"/>
        <v>#N/A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 t="e">
        <v>#N/A</v>
      </c>
      <c r="I1638" s="460" t="e">
        <v>#N/A</v>
      </c>
      <c r="J1638" s="460" t="e">
        <v>#N/A</v>
      </c>
      <c r="K1638" s="460" t="e">
        <v>#N/A</v>
      </c>
      <c r="L1638" s="459" t="e">
        <v>#N/A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TWIN-wzmocnienie 2390mm</v>
      </c>
      <c r="C1642" s="185">
        <f t="shared" si="51"/>
        <v>27.606100000000001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799</v>
      </c>
      <c r="I1642" s="460">
        <v>32.700000000000003</v>
      </c>
      <c r="J1642" s="460">
        <v>27.606100000000001</v>
      </c>
      <c r="K1642" s="460" t="e">
        <v>#N/A</v>
      </c>
      <c r="L1642" s="459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komplet płynnego otwierania 1,35m</v>
      </c>
      <c r="C1643" s="185">
        <f t="shared" si="51"/>
        <v>104.83199999999999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749</v>
      </c>
      <c r="I1643" s="460">
        <v>25.53546</v>
      </c>
      <c r="J1643" s="460">
        <v>104.83199999999999</v>
      </c>
      <c r="K1643" s="460" t="e">
        <v>#N/A</v>
      </c>
      <c r="L1643" s="459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S-odbojnik dolny S06N/NN</v>
      </c>
      <c r="C1645" s="185" t="e">
        <f t="shared" si="51"/>
        <v>#N/A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 t="e">
        <v>#N/A</v>
      </c>
      <c r="I1645" s="460" t="e">
        <v>#N/A</v>
      </c>
      <c r="J1645" s="460" t="e">
        <v>#N/A</v>
      </c>
      <c r="K1645" s="460" t="e">
        <v>#N/A</v>
      </c>
      <c r="L1645" s="459" t="e">
        <v>#N/A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S-śruba torx 4x40</v>
      </c>
      <c r="C1646" s="185" t="e">
        <f t="shared" si="51"/>
        <v>#N/A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 t="e">
        <v>#N/A</v>
      </c>
      <c r="I1646" s="460" t="e">
        <v>#N/A</v>
      </c>
      <c r="J1646" s="460" t="e">
        <v>#N/A</v>
      </c>
      <c r="K1646" s="460" t="e">
        <v>#N/A</v>
      </c>
      <c r="L1646" s="459" t="e">
        <v>#N/A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/>
      </c>
      <c r="C1647" s="185">
        <f t="shared" si="51"/>
        <v>5.2589199999999998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27.93</v>
      </c>
      <c r="I1647" s="460">
        <v>1.1920500000000001</v>
      </c>
      <c r="J1647" s="460">
        <v>5.2589199999999998</v>
      </c>
      <c r="K1647" s="460" t="e">
        <v>#N/A</v>
      </c>
      <c r="L1647" s="459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IC-rączka Berlin 10 mm EU szampan 5,3m</v>
      </c>
      <c r="C1648" s="185" t="e">
        <f t="shared" si="51"/>
        <v>#N/A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 t="e">
        <v>#N/A</v>
      </c>
      <c r="I1648" s="460" t="e">
        <v>#N/A</v>
      </c>
      <c r="J1648" s="460" t="e">
        <v>#N/A</v>
      </c>
      <c r="K1648" s="460" t="e">
        <v>#N/A</v>
      </c>
      <c r="L1648" s="459" t="e">
        <v>#N/A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Pax XL rączka 2,7m srebrny</v>
      </c>
      <c r="C1649" s="185">
        <f t="shared" si="51"/>
        <v>89.892600000000002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9024.1693500000001</v>
      </c>
      <c r="L1649" s="459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Pax XL tor dolny 3m srebrny</v>
      </c>
      <c r="C1650" s="185" t="e">
        <f t="shared" si="51"/>
        <v>#N/A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 t="e">
        <v>#N/A</v>
      </c>
      <c r="I1650" s="460" t="e">
        <v>#N/A</v>
      </c>
      <c r="J1650" s="460" t="e">
        <v>#N/A</v>
      </c>
      <c r="K1650" s="460" t="e">
        <v>#N/A</v>
      </c>
      <c r="L1650" s="459" t="e">
        <v>#N/A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Pax XL maskownica dolna 3m 4mm srebrny</v>
      </c>
      <c r="C1651" s="185">
        <f t="shared" si="51"/>
        <v>111.6186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11197.582060000001</v>
      </c>
      <c r="L1651" s="459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uszczelka do profilu Pax XL</v>
      </c>
      <c r="C1652" s="185">
        <f t="shared" si="51"/>
        <v>2.1318000000000001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235.78189</v>
      </c>
      <c r="L1652" s="459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rączka 18mm 2,70m jasny brąz new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Blue tor górny 6m jasny brąz new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tor dolny 6m jasny brąz new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tor górny Simple/Blue 3m (płyta laminatowa 18mm) jasny brąz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maskownica dolna Simple/Blue 3m (18mm) jasny brąz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mocowanie toru górnego do lamina 25 - 45 mm</v>
      </c>
      <c r="C1666" s="185" t="e">
        <f t="shared" si="51"/>
        <v>#N/A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 t="e">
        <v>#N/A</v>
      </c>
      <c r="I1666" s="460" t="e">
        <v>#N/A</v>
      </c>
      <c r="J1666" s="460" t="e">
        <v>#N/A</v>
      </c>
      <c r="K1666" s="460" t="e">
        <v>#N/A</v>
      </c>
      <c r="L1666" s="459" t="e">
        <v>#N/A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/>
      </c>
      <c r="C1667" s="185" t="e">
        <f t="shared" si="51"/>
        <v>#N/A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 t="e">
        <v>#N/A</v>
      </c>
      <c r="I1667" s="460" t="e">
        <v>#N/A</v>
      </c>
      <c r="J1667" s="460" t="e">
        <v>#N/A</v>
      </c>
      <c r="K1667" s="460" t="e">
        <v>#N/A</v>
      </c>
      <c r="L1667" s="459" t="e">
        <v>#N/A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 t="e">
        <f t="shared" ref="C1668:C1731" si="53">IF($A$2=1,H1668,IF($A$2=2,I1668,IF($A$2=3,J1668,IF($A$2=4,K1668,IF($A$2&gt;4,O1668,"zadat jazyk")))))</f>
        <v>#N/A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 t="e">
        <v>#N/A</v>
      </c>
      <c r="I1668" s="460" t="e">
        <v>#N/A</v>
      </c>
      <c r="J1668" s="460" t="e">
        <v>#N/A</v>
      </c>
      <c r="K1668" s="460" t="e">
        <v>#N/A</v>
      </c>
      <c r="L1668" s="459" t="e">
        <v>#N/A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/>
      </c>
      <c r="C1669" s="185" t="e">
        <f t="shared" si="53"/>
        <v>#N/A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 t="e">
        <v>#N/A</v>
      </c>
      <c r="I1669" s="460" t="e">
        <v>#N/A</v>
      </c>
      <c r="J1669" s="460" t="e">
        <v>#N/A</v>
      </c>
      <c r="K1669" s="460" t="e">
        <v>#N/A</v>
      </c>
      <c r="L1669" s="459" t="e">
        <v>#N/A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IC-Profil maskujący dolny 3m alu</v>
      </c>
      <c r="C1670" s="185" t="e">
        <f t="shared" si="53"/>
        <v>#N/A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 t="e">
        <v>#N/A</v>
      </c>
      <c r="I1670" s="460" t="e">
        <v>#N/A</v>
      </c>
      <c r="J1670" s="460" t="e">
        <v>#N/A</v>
      </c>
      <c r="K1670" s="460" t="e">
        <v>#N/A</v>
      </c>
      <c r="L1670" s="459" t="e">
        <v>#N/A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górny profil prowadzący 2m, srebrny</v>
      </c>
      <c r="C1671" s="185" t="e">
        <f t="shared" si="53"/>
        <v>#N/A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 t="e">
        <v>#N/A</v>
      </c>
      <c r="I1671" s="460" t="e">
        <v>#N/A</v>
      </c>
      <c r="J1671" s="460" t="e">
        <v>#N/A</v>
      </c>
      <c r="K1671" s="460" t="e">
        <v>#N/A</v>
      </c>
      <c r="L1671" s="459" t="e">
        <v>#N/A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górny profil prowadzący 2m stal nierdzewna</v>
      </c>
      <c r="C1672" s="185" t="e">
        <f t="shared" si="53"/>
        <v>#N/A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 t="e">
        <v>#N/A</v>
      </c>
      <c r="I1672" s="460" t="e">
        <v>#N/A</v>
      </c>
      <c r="J1672" s="460" t="e">
        <v>#N/A</v>
      </c>
      <c r="K1672" s="460" t="e">
        <v>#N/A</v>
      </c>
      <c r="L1672" s="459" t="e">
        <v>#N/A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dolny profil 2m elox stal nierdzewna</v>
      </c>
      <c r="C1673" s="185" t="e">
        <f t="shared" si="53"/>
        <v>#N/A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 t="e">
        <v>#N/A</v>
      </c>
      <c r="I1673" s="460" t="e">
        <v>#N/A</v>
      </c>
      <c r="J1673" s="460" t="e">
        <v>#N/A</v>
      </c>
      <c r="K1673" s="460" t="e">
        <v>#N/A</v>
      </c>
      <c r="L1673" s="459" t="e">
        <v>#N/A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profl maskujący alu 2m stal nierdzewna</v>
      </c>
      <c r="C1674" s="185" t="e">
        <f t="shared" si="53"/>
        <v>#N/A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 t="e">
        <v>#N/A</v>
      </c>
      <c r="I1674" s="460" t="e">
        <v>#N/A</v>
      </c>
      <c r="J1674" s="460" t="e">
        <v>#N/A</v>
      </c>
      <c r="K1674" s="460" t="e">
        <v>#N/A</v>
      </c>
      <c r="L1674" s="459" t="e">
        <v>#N/A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profil "U" do płyty laminowanej 18mm 3m czarny połysk</v>
      </c>
      <c r="C1677" s="185">
        <f t="shared" si="53"/>
        <v>27.009599999999999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2383.7428100000002</v>
      </c>
      <c r="L1677" s="459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kątownik Mini 17x11 mm 1,7 m czarny połysk</v>
      </c>
      <c r="C1678" s="185">
        <f t="shared" si="53"/>
        <v>12.2094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1221.9187199999999</v>
      </c>
      <c r="L1678" s="459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kątownik Mini 17x11 mm 2,35 m czarny połysk</v>
      </c>
      <c r="C1679" s="185">
        <f t="shared" si="53"/>
        <v>16.901399999999999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1692.6579200000001</v>
      </c>
      <c r="L1679" s="459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kątownik Mini 17x11 mm 3 m czarny połysk</v>
      </c>
      <c r="C1680" s="185">
        <f t="shared" si="53"/>
        <v>21.583200000000001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2163.3967400000001</v>
      </c>
      <c r="L1680" s="459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maskownica dolna 1,7 m 10 mm czarny połysk</v>
      </c>
      <c r="C1681" s="185">
        <f t="shared" si="53"/>
        <v>70.369799999999998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7331.51181</v>
      </c>
      <c r="L1681" s="459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maskownica dolna 2,35 m 10 mm czarny połysk</v>
      </c>
      <c r="C1682" s="185">
        <f t="shared" si="53"/>
        <v>97.287599999999998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10125.899240000001</v>
      </c>
      <c r="L1682" s="459" t="s">
        <v>539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maskownica dolna 3 m 10 mm czarny połysk</v>
      </c>
      <c r="C1683" s="185">
        <f t="shared" si="53"/>
        <v>124.22580000000001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12960.35014</v>
      </c>
      <c r="L1683" s="459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listwa pozioma górna 1,7m czarny połysk</v>
      </c>
      <c r="C1684" s="185">
        <f t="shared" si="53"/>
        <v>59.986199999999997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4036.3376800000001</v>
      </c>
      <c r="L1684" s="459" t="s">
        <v>539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listwa pozioma górna 2,35m czarny połysk</v>
      </c>
      <c r="C1685" s="185">
        <f t="shared" si="53"/>
        <v>82.936199999999999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5588.7752499999997</v>
      </c>
      <c r="L1685" s="459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listwa pozioma górna 3m czarny połysk</v>
      </c>
      <c r="C1686" s="185">
        <f t="shared" si="53"/>
        <v>105.8454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7131.1972999999998</v>
      </c>
      <c r="L1686" s="459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listwa łącząca H18 3m czarny połysk</v>
      </c>
      <c r="C1687" s="185">
        <f t="shared" si="53"/>
        <v>62.464799999999997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5999.42029</v>
      </c>
      <c r="L1687" s="459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Elegant II tor dolny 1,7 m czarny połysk</v>
      </c>
      <c r="C1688" s="185">
        <f t="shared" si="53"/>
        <v>40.698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4176.5579900000002</v>
      </c>
      <c r="L1688" s="459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Elegant II tor dolny 3 m czarny połysk</v>
      </c>
      <c r="C1689" s="185">
        <f t="shared" si="53"/>
        <v>71.808000000000007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7291.4487600000002</v>
      </c>
      <c r="L1689" s="459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Elegant II tor dolny 4,05 m czarny połysk</v>
      </c>
      <c r="C1690" s="185">
        <f t="shared" si="53"/>
        <v>96.930599999999998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9875.5060699999995</v>
      </c>
      <c r="L1690" s="459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Elegant II tor dolny 6m czarny połysk</v>
      </c>
      <c r="C1691" s="185">
        <f t="shared" si="53"/>
        <v>0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0</v>
      </c>
      <c r="K1691" s="460">
        <v>14592.91346</v>
      </c>
      <c r="L1691" s="459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Gemini tor górny 1,7 m czarny połysk</v>
      </c>
      <c r="C1692" s="185">
        <f t="shared" si="53"/>
        <v>74.653800000000004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7081.1186600000001</v>
      </c>
      <c r="L1692" s="459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Gemini tor górny 3 m czarny połysk</v>
      </c>
      <c r="C1693" s="185">
        <f t="shared" si="53"/>
        <v>131.79419999999999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12499.626490000001</v>
      </c>
      <c r="L1693" s="459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Gemini tor górny 4,05 m czarny połysk</v>
      </c>
      <c r="C1694" s="185">
        <f t="shared" si="53"/>
        <v>177.9186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16876.499019999999</v>
      </c>
      <c r="L1694" s="459" t="s">
        <v>539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Gemini tor górny 6m czarny połysk</v>
      </c>
      <c r="C1695" s="185">
        <f t="shared" si="53"/>
        <v>0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0</v>
      </c>
      <c r="K1695" s="460">
        <v>24999.252980000001</v>
      </c>
      <c r="L1695" s="459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zaślepka do toru Elegant II 1,7m czarny połysk</v>
      </c>
      <c r="C1696" s="185">
        <f t="shared" si="53"/>
        <v>12.199199999999999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1282.0129099999999</v>
      </c>
      <c r="L1696" s="459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zaślepka do toru Elegant II 3m czarny połysk</v>
      </c>
      <c r="C1697" s="185">
        <f t="shared" si="53"/>
        <v>21.542400000000001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2263.5540099999998</v>
      </c>
      <c r="L1697" s="459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zaślepka do toru Elegant II 4,05m czarny połysk</v>
      </c>
      <c r="C1698" s="185">
        <f t="shared" si="53"/>
        <v>29.07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3054.79655</v>
      </c>
      <c r="L1698" s="459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zaślepka do toru Elegant II 6m czarny połysk</v>
      </c>
      <c r="C1699" s="185">
        <f t="shared" si="53"/>
        <v>0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0</v>
      </c>
      <c r="K1699" s="460">
        <v>4527.1084300000002</v>
      </c>
      <c r="L1699" s="459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komplet okuć do drzwi składanych 25kg</v>
      </c>
      <c r="C1700" s="185" t="e">
        <f t="shared" si="53"/>
        <v>#N/A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 t="e">
        <v>#N/A</v>
      </c>
      <c r="I1700" s="460" t="e">
        <v>#N/A</v>
      </c>
      <c r="J1700" s="460" t="e">
        <v>#N/A</v>
      </c>
      <c r="K1700" s="460" t="e">
        <v>#N/A</v>
      </c>
      <c r="L1700" s="459" t="e">
        <v>#N/A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dolny profil 2m</v>
      </c>
      <c r="C1701" s="185" t="e">
        <f t="shared" si="53"/>
        <v>#N/A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 t="e">
        <v>#N/A</v>
      </c>
      <c r="I1701" s="460" t="e">
        <v>#N/A</v>
      </c>
      <c r="J1701" s="460" t="e">
        <v>#N/A</v>
      </c>
      <c r="K1701" s="460" t="e">
        <v>#N/A</v>
      </c>
      <c r="L1701" s="459" t="e">
        <v>#N/A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Single tor górny 6m jasny brąz</v>
      </c>
      <c r="C1704" s="185" t="e">
        <f t="shared" si="53"/>
        <v>#N/A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 t="e">
        <v>#N/A</v>
      </c>
      <c r="I1704" s="460" t="e">
        <v>#N/A</v>
      </c>
      <c r="J1704" s="460" t="e">
        <v>#N/A</v>
      </c>
      <c r="K1704" s="460" t="e">
        <v>#N/A</v>
      </c>
      <c r="L1704" s="459" t="e">
        <v>#N/A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wózek dolny WD10 V Duo 60kg (2 szt)</v>
      </c>
      <c r="C1705" s="185">
        <f t="shared" si="53"/>
        <v>65.147400000000005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7339.9954900000002</v>
      </c>
      <c r="L1705" s="459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Górny zacisk T 12 mm</v>
      </c>
      <c r="C1709" s="185">
        <f t="shared" si="53"/>
        <v>92.240480000000005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92.240480000000005</v>
      </c>
      <c r="K1709" s="460" t="e">
        <v>#N/A</v>
      </c>
      <c r="L1709" s="459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Nóżka regulowana VS-U uniwersalna 12 mm</v>
      </c>
      <c r="C1710" s="185">
        <f t="shared" si="53"/>
        <v>91.638289999999998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637.46443999999997</v>
      </c>
      <c r="I1710" s="460">
        <v>24.796800000000001</v>
      </c>
      <c r="J1710" s="460">
        <v>91.638289999999998</v>
      </c>
      <c r="K1710" s="460" t="e">
        <v>#N/A</v>
      </c>
      <c r="L1710" s="459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Top tor górny pojedyńczy 2,35m srebrny</v>
      </c>
      <c r="C1715" s="185">
        <f t="shared" si="53"/>
        <v>91.1982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10055.789489999999</v>
      </c>
      <c r="L1715" s="459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górny i środkowy profil 2m stal nierdzewna</v>
      </c>
      <c r="C1716" s="185" t="e">
        <f t="shared" si="53"/>
        <v>#N/A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 t="e">
        <v>#N/A</v>
      </c>
      <c r="I1716" s="460" t="e">
        <v>#N/A</v>
      </c>
      <c r="J1716" s="460" t="e">
        <v>#N/A</v>
      </c>
      <c r="K1716" s="460" t="e">
        <v>#N/A</v>
      </c>
      <c r="L1716" s="459" t="e">
        <v>#N/A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dolny profil 4/18mm 2m stal nierdzewna</v>
      </c>
      <c r="C1717" s="185" t="e">
        <f t="shared" si="53"/>
        <v>#N/A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 t="e">
        <v>#N/A</v>
      </c>
      <c r="I1717" s="460" t="e">
        <v>#N/A</v>
      </c>
      <c r="J1717" s="460" t="e">
        <v>#N/A</v>
      </c>
      <c r="K1717" s="460" t="e">
        <v>#N/A</v>
      </c>
      <c r="L1717" s="459" t="e">
        <v>#N/A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S-szczotka odbojowa niska 13x5mm szary</v>
      </c>
      <c r="C1718" s="185" t="e">
        <f t="shared" si="53"/>
        <v>#N/A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 t="e">
        <v>#N/A</v>
      </c>
      <c r="I1718" s="460" t="e">
        <v>#N/A</v>
      </c>
      <c r="J1718" s="460" t="e">
        <v>#N/A</v>
      </c>
      <c r="K1718" s="460" t="e">
        <v>#N/A</v>
      </c>
      <c r="L1718" s="459" t="e">
        <v>#N/A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zestaw okuć do drzwi wewnętrznych Simple 18 Galaxy 50kg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0</v>
      </c>
      <c r="I1719" s="460">
        <v>0</v>
      </c>
      <c r="J1719" s="460">
        <v>0</v>
      </c>
      <c r="K1719" s="460">
        <v>0</v>
      </c>
      <c r="L1719" s="459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zestaw okuć do drzwi wewnętrznych Simple 18 Galaxy 50kg 2xtłumienie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0</v>
      </c>
      <c r="I1720" s="460">
        <v>0</v>
      </c>
      <c r="J1720" s="460">
        <v>0</v>
      </c>
      <c r="K1720" s="460">
        <v>0</v>
      </c>
      <c r="L1720" s="459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IC-tor górny 5m szampański</v>
      </c>
      <c r="C1721" s="185" t="e">
        <f t="shared" si="53"/>
        <v>#N/A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 t="e">
        <v>#N/A</v>
      </c>
      <c r="I1721" s="460" t="e">
        <v>#N/A</v>
      </c>
      <c r="J1721" s="460" t="e">
        <v>#N/A</v>
      </c>
      <c r="K1721" s="460" t="e">
        <v>#N/A</v>
      </c>
      <c r="L1721" s="459" t="e">
        <v>#N/A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IC-tor dolny 5m szampański</v>
      </c>
      <c r="C1722" s="185" t="e">
        <f t="shared" si="53"/>
        <v>#N/A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 t="e">
        <v>#N/A</v>
      </c>
      <c r="I1722" s="460" t="e">
        <v>#N/A</v>
      </c>
      <c r="J1722" s="460" t="e">
        <v>#N/A</v>
      </c>
      <c r="K1722" s="460" t="e">
        <v>#N/A</v>
      </c>
      <c r="L1722" s="459" t="e">
        <v>#N/A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IC-tor górny 2m srebrny</v>
      </c>
      <c r="C1723" s="185" t="e">
        <f t="shared" si="53"/>
        <v>#N/A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 t="e">
        <v>#N/A</v>
      </c>
      <c r="I1723" s="460" t="e">
        <v>#N/A</v>
      </c>
      <c r="J1723" s="460" t="e">
        <v>#N/A</v>
      </c>
      <c r="K1723" s="460" t="e">
        <v>#N/A</v>
      </c>
      <c r="L1723" s="459" t="e">
        <v>#N/A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IC-tor górny 3m srebrny</v>
      </c>
      <c r="C1724" s="185" t="e">
        <f t="shared" si="53"/>
        <v>#N/A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 t="e">
        <v>#N/A</v>
      </c>
      <c r="I1724" s="460" t="e">
        <v>#N/A</v>
      </c>
      <c r="J1724" s="460" t="e">
        <v>#N/A</v>
      </c>
      <c r="K1724" s="460" t="e">
        <v>#N/A</v>
      </c>
      <c r="L1724" s="459" t="e">
        <v>#N/A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IC-tor górny 5m srebrny</v>
      </c>
      <c r="C1725" s="185" t="e">
        <f t="shared" si="53"/>
        <v>#N/A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 t="e">
        <v>#N/A</v>
      </c>
      <c r="I1725" s="460" t="e">
        <v>#N/A</v>
      </c>
      <c r="J1725" s="460" t="e">
        <v>#N/A</v>
      </c>
      <c r="K1725" s="460" t="e">
        <v>#N/A</v>
      </c>
      <c r="L1725" s="459" t="e">
        <v>#N/A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IC-tor dolny 2m srebrny</v>
      </c>
      <c r="C1726" s="185" t="e">
        <f t="shared" si="53"/>
        <v>#N/A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 t="e">
        <v>#N/A</v>
      </c>
      <c r="I1726" s="460" t="e">
        <v>#N/A</v>
      </c>
      <c r="J1726" s="460" t="e">
        <v>#N/A</v>
      </c>
      <c r="K1726" s="460" t="e">
        <v>#N/A</v>
      </c>
      <c r="L1726" s="459" t="e">
        <v>#N/A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IC-tor dolny 3m srebrny</v>
      </c>
      <c r="C1727" s="185" t="e">
        <f t="shared" si="53"/>
        <v>#N/A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 t="e">
        <v>#N/A</v>
      </c>
      <c r="I1727" s="460" t="e">
        <v>#N/A</v>
      </c>
      <c r="J1727" s="460" t="e">
        <v>#N/A</v>
      </c>
      <c r="K1727" s="460" t="e">
        <v>#N/A</v>
      </c>
      <c r="L1727" s="459" t="e">
        <v>#N/A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IC-tor dolny 5m srebrny</v>
      </c>
      <c r="C1728" s="185" t="e">
        <f t="shared" si="53"/>
        <v>#N/A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 t="e">
        <v>#N/A</v>
      </c>
      <c r="I1728" s="460" t="e">
        <v>#N/A</v>
      </c>
      <c r="J1728" s="460" t="e">
        <v>#N/A</v>
      </c>
      <c r="K1728" s="460" t="e">
        <v>#N/A</v>
      </c>
      <c r="L1728" s="459" t="e">
        <v>#N/A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IC-komplet wózków Comfort 1 skrzydło</v>
      </c>
      <c r="C1729" s="185" t="e">
        <f t="shared" si="53"/>
        <v>#N/A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 t="e">
        <v>#N/A</v>
      </c>
      <c r="I1729" s="460" t="e">
        <v>#N/A</v>
      </c>
      <c r="J1729" s="460" t="e">
        <v>#N/A</v>
      </c>
      <c r="K1729" s="460" t="e">
        <v>#N/A</v>
      </c>
      <c r="L1729" s="459" t="e">
        <v>#N/A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IC-komplet wózków symetrycznych 1 skrzydło</v>
      </c>
      <c r="C1730" s="185" t="e">
        <f t="shared" si="53"/>
        <v>#N/A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 t="e">
        <v>#N/A</v>
      </c>
      <c r="I1730" s="460" t="e">
        <v>#N/A</v>
      </c>
      <c r="J1730" s="460" t="e">
        <v>#N/A</v>
      </c>
      <c r="K1730" s="460" t="e">
        <v>#N/A</v>
      </c>
      <c r="L1730" s="459" t="e">
        <v>#N/A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IC-pozycjoner</v>
      </c>
      <c r="C1731" s="185" t="e">
        <f t="shared" si="53"/>
        <v>#N/A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 t="e">
        <v>#N/A</v>
      </c>
      <c r="I1731" s="460" t="e">
        <v>#N/A</v>
      </c>
      <c r="J1731" s="460" t="e">
        <v>#N/A</v>
      </c>
      <c r="K1731" s="460" t="e">
        <v>#N/A</v>
      </c>
      <c r="L1731" s="459" t="e">
        <v>#N/A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IC-złącze do szczotki odbojowej</v>
      </c>
      <c r="C1732" s="185">
        <f t="shared" ref="C1732:C1795" si="55">IF($A$2=1,H1732,IF($A$2=2,I1732,IF($A$2=3,J1732,IF($A$2=4,K1732,IF($A$2&gt;4,O1732,"zadat jazyk")))))</f>
        <v>0.63849999999999996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 t="e">
        <v>#N/A</v>
      </c>
      <c r="L1732" s="459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IC-tłumienie prawe</v>
      </c>
      <c r="C1733" s="185" t="e">
        <f t="shared" si="55"/>
        <v>#N/A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 t="e">
        <v>#N/A</v>
      </c>
      <c r="I1733" s="460" t="e">
        <v>#N/A</v>
      </c>
      <c r="J1733" s="460" t="e">
        <v>#N/A</v>
      </c>
      <c r="K1733" s="460" t="e">
        <v>#N/A</v>
      </c>
      <c r="L1733" s="459" t="e">
        <v>#N/A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IC-tłumienie lewe</v>
      </c>
      <c r="C1734" s="185" t="e">
        <f t="shared" si="55"/>
        <v>#N/A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 t="e">
        <v>#N/A</v>
      </c>
      <c r="I1734" s="460" t="e">
        <v>#N/A</v>
      </c>
      <c r="J1734" s="460" t="e">
        <v>#N/A</v>
      </c>
      <c r="K1734" s="460" t="e">
        <v>#N/A</v>
      </c>
      <c r="L1734" s="459" t="e">
        <v>#N/A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IC-uszczelka do szkła 12/6,4mm</v>
      </c>
      <c r="C1735" s="185" t="e">
        <f t="shared" si="55"/>
        <v>#N/A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 t="e">
        <v>#N/A</v>
      </c>
      <c r="I1735" s="460" t="e">
        <v>#N/A</v>
      </c>
      <c r="J1735" s="460" t="e">
        <v>#N/A</v>
      </c>
      <c r="K1735" s="460" t="e">
        <v>#N/A</v>
      </c>
      <c r="L1735" s="459" t="e">
        <v>#N/A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Herkules plus tor górny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wózek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zawias 25kg</v>
      </c>
      <c r="C1738" s="185">
        <f t="shared" si="55"/>
        <v>9.2333099999999995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1021.2114800000001</v>
      </c>
      <c r="L1738" s="459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S-komplet okuć S25</v>
      </c>
      <c r="C1739" s="185" t="e">
        <f t="shared" si="55"/>
        <v>#N/A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 t="e">
        <v>#N/A</v>
      </c>
      <c r="I1739" s="460" t="e">
        <v>#N/A</v>
      </c>
      <c r="J1739" s="460" t="e">
        <v>#N/A</v>
      </c>
      <c r="K1739" s="460" t="e">
        <v>#N/A</v>
      </c>
      <c r="L1739" s="459" t="e">
        <v>#N/A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S-górna listwa S25 1m</v>
      </c>
      <c r="C1740" s="185" t="e">
        <f t="shared" si="55"/>
        <v>#N/A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 t="e">
        <v>#N/A</v>
      </c>
      <c r="I1740" s="460" t="e">
        <v>#N/A</v>
      </c>
      <c r="J1740" s="460" t="e">
        <v>#N/A</v>
      </c>
      <c r="K1740" s="460" t="e">
        <v>#N/A</v>
      </c>
      <c r="L1740" s="459" t="e">
        <v>#N/A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S-dolna listwa S25 1m</v>
      </c>
      <c r="C1741" s="185" t="e">
        <f t="shared" si="55"/>
        <v>#N/A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 t="e">
        <v>#N/A</v>
      </c>
      <c r="I1741" s="460" t="e">
        <v>#N/A</v>
      </c>
      <c r="J1741" s="460" t="e">
        <v>#N/A</v>
      </c>
      <c r="K1741" s="460" t="e">
        <v>#N/A</v>
      </c>
      <c r="L1741" s="459" t="e">
        <v>#N/A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IC-Profil maskujący naklejany 3m szampan</v>
      </c>
      <c r="C1742" s="185" t="e">
        <f t="shared" si="55"/>
        <v>#N/A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 t="e">
        <v>#N/A</v>
      </c>
      <c r="I1742" s="460" t="e">
        <v>#N/A</v>
      </c>
      <c r="J1742" s="460" t="e">
        <v>#N/A</v>
      </c>
      <c r="K1742" s="460" t="e">
        <v>#N/A</v>
      </c>
      <c r="L1742" s="459" t="e">
        <v>#N/A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IC-dwustronna taśma klejąca przezroczysta 14mm/50m</v>
      </c>
      <c r="C1743" s="185" t="e">
        <f t="shared" si="55"/>
        <v>#N/A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 t="e">
        <v>#N/A</v>
      </c>
      <c r="I1743" s="460" t="e">
        <v>#N/A</v>
      </c>
      <c r="J1743" s="460" t="e">
        <v>#N/A</v>
      </c>
      <c r="K1743" s="460" t="e">
        <v>#N/A</v>
      </c>
      <c r="L1743" s="459" t="e">
        <v>#N/A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S-uchwyt S70a 2,7m (profil H09)</v>
      </c>
      <c r="C1746" s="185" t="e">
        <f t="shared" si="55"/>
        <v>#N/A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 t="e">
        <v>#N/A</v>
      </c>
      <c r="I1746" s="460" t="e">
        <v>#N/A</v>
      </c>
      <c r="J1746" s="460" t="e">
        <v>#N/A</v>
      </c>
      <c r="K1746" s="460" t="e">
        <v>#N/A</v>
      </c>
      <c r="L1746" s="459" t="e">
        <v>#N/A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S-uchwyt S70c 2,7m (profil H11)</v>
      </c>
      <c r="C1747" s="185" t="e">
        <f t="shared" si="55"/>
        <v>#N/A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 t="e">
        <v>#N/A</v>
      </c>
      <c r="I1747" s="460" t="e">
        <v>#N/A</v>
      </c>
      <c r="J1747" s="460" t="e">
        <v>#N/A</v>
      </c>
      <c r="K1747" s="460" t="e">
        <v>#N/A</v>
      </c>
      <c r="L1747" s="459" t="e">
        <v>#N/A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S-hamulec S35</v>
      </c>
      <c r="C1748" s="185">
        <f t="shared" si="55"/>
        <v>6.08927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32.340000000000003</v>
      </c>
      <c r="I1748" s="460">
        <v>1.3802700000000001</v>
      </c>
      <c r="J1748" s="460">
        <v>6.08927</v>
      </c>
      <c r="K1748" s="460" t="e">
        <v>#N/A</v>
      </c>
      <c r="L1748" s="459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tłumienie</v>
      </c>
      <c r="C1750" s="185">
        <f t="shared" si="55"/>
        <v>106.76866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567.04618000000005</v>
      </c>
      <c r="I1750" s="460">
        <v>24.201370000000001</v>
      </c>
      <c r="J1750" s="460">
        <v>106.76866</v>
      </c>
      <c r="K1750" s="460" t="e">
        <v>#N/A</v>
      </c>
      <c r="L1750" s="459" t="s">
        <v>540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SALU 09 srebrny anodowany 2,7 m</v>
      </c>
      <c r="C1751" s="185" t="e">
        <f t="shared" si="55"/>
        <v>#N/A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 t="e">
        <v>#N/A</v>
      </c>
      <c r="I1751" s="460" t="e">
        <v>#N/A</v>
      </c>
      <c r="J1751" s="460" t="e">
        <v>#N/A</v>
      </c>
      <c r="K1751" s="460" t="e">
        <v>#N/A</v>
      </c>
      <c r="L1751" s="459" t="e">
        <v>#N/A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4m. Metal</v>
      </c>
      <c r="C1753" s="185" t="e">
        <f t="shared" si="55"/>
        <v>#N/A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 t="e">
        <v>#N/A</v>
      </c>
      <c r="I1753" s="460" t="e">
        <v>#N/A</v>
      </c>
      <c r="J1753" s="460" t="e">
        <v>#N/A</v>
      </c>
      <c r="K1753" s="460" t="e">
        <v>#N/A</v>
      </c>
      <c r="L1753" s="459" t="e">
        <v>#N/A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IC-tor górny EU 6m szampański</v>
      </c>
      <c r="C1760" s="185" t="e">
        <f t="shared" si="55"/>
        <v>#N/A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 t="e">
        <v>#N/A</v>
      </c>
      <c r="I1760" s="460" t="e">
        <v>#N/A</v>
      </c>
      <c r="J1760" s="460" t="e">
        <v>#N/A</v>
      </c>
      <c r="K1760" s="460" t="e">
        <v>#N/A</v>
      </c>
      <c r="L1760" s="459" t="e">
        <v>#N/A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IC-tor dolny EU 6m szampański</v>
      </c>
      <c r="C1761" s="185" t="e">
        <f t="shared" si="55"/>
        <v>#N/A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 t="e">
        <v>#N/A</v>
      </c>
      <c r="I1761" s="460" t="e">
        <v>#N/A</v>
      </c>
      <c r="J1761" s="460" t="e">
        <v>#N/A</v>
      </c>
      <c r="K1761" s="460" t="e">
        <v>#N/A</v>
      </c>
      <c r="L1761" s="459" t="e">
        <v>#N/A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IC-Górna listwa torowa    EU 10mm 6m szampan</v>
      </c>
      <c r="C1762" s="185" t="e">
        <f t="shared" si="55"/>
        <v>#N/A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 t="e">
        <v>#N/A</v>
      </c>
      <c r="I1762" s="460" t="e">
        <v>#N/A</v>
      </c>
      <c r="J1762" s="460" t="e">
        <v>#N/A</v>
      </c>
      <c r="K1762" s="460" t="e">
        <v>#N/A</v>
      </c>
      <c r="L1762" s="459" t="e">
        <v>#N/A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IC-Dolna listwa maskująca  EU 10mm 6m szampan</v>
      </c>
      <c r="C1763" s="185" t="e">
        <f t="shared" si="55"/>
        <v>#N/A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 t="e">
        <v>#N/A</v>
      </c>
      <c r="I1763" s="460" t="e">
        <v>#N/A</v>
      </c>
      <c r="J1763" s="460" t="e">
        <v>#N/A</v>
      </c>
      <c r="K1763" s="460" t="e">
        <v>#N/A</v>
      </c>
      <c r="L1763" s="459" t="e">
        <v>#N/A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przesuwny zestaw zabudowy wewnętrznej okucia do 60kg</v>
      </c>
      <c r="C1764" s="185">
        <f t="shared" si="55"/>
        <v>558.19456000000002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140.84192999999999</v>
      </c>
      <c r="J1764" s="460">
        <v>558.19456000000002</v>
      </c>
      <c r="K1764" s="460" t="e">
        <v>#N/A</v>
      </c>
      <c r="L1764" s="459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okucia wewnętrzne przesuwne 100kg tor górny 2m elox</v>
      </c>
      <c r="C1765" s="185" t="e">
        <f t="shared" si="55"/>
        <v>#N/A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 t="e">
        <v>#N/A</v>
      </c>
      <c r="I1765" s="460" t="e">
        <v>#N/A</v>
      </c>
      <c r="J1765" s="460" t="e">
        <v>#N/A</v>
      </c>
      <c r="K1765" s="460" t="e">
        <v>#N/A</v>
      </c>
      <c r="L1765" s="459" t="e">
        <v>#N/A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 amortyzator do 60 kg</v>
      </c>
      <c r="C1766" s="185">
        <f t="shared" si="55"/>
        <v>618.20856000000003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156.05096</v>
      </c>
      <c r="J1766" s="460">
        <v>618.20856000000003</v>
      </c>
      <c r="K1766" s="460" t="e">
        <v>#N/A</v>
      </c>
      <c r="L1766" s="459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listwa podwójna 3,5m</v>
      </c>
      <c r="C1767" s="185" t="e">
        <f t="shared" si="55"/>
        <v>#N/A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 t="e">
        <v>#N/A</v>
      </c>
      <c r="I1767" s="460" t="e">
        <v>#N/A</v>
      </c>
      <c r="J1767" s="460" t="e">
        <v>#N/A</v>
      </c>
      <c r="K1767" s="460" t="e">
        <v>#N/A</v>
      </c>
      <c r="L1767" s="459" t="e">
        <v>#N/A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tor dolny 2 m srebrny</v>
      </c>
      <c r="C1783" s="185" t="e">
        <f t="shared" si="55"/>
        <v>#N/A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 t="e">
        <v>#N/A</v>
      </c>
      <c r="I1783" s="460" t="e">
        <v>#N/A</v>
      </c>
      <c r="J1783" s="460" t="e">
        <v>#N/A</v>
      </c>
      <c r="K1783" s="460" t="e">
        <v>#N/A</v>
      </c>
      <c r="L1783" s="459" t="e">
        <v>#N/A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profl maskujący (maskownica) 2m srebrny</v>
      </c>
      <c r="C1784" s="185" t="e">
        <f t="shared" si="55"/>
        <v>#N/A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 t="e">
        <v>#N/A</v>
      </c>
      <c r="I1784" s="460" t="e">
        <v>#N/A</v>
      </c>
      <c r="J1784" s="460" t="e">
        <v>#N/A</v>
      </c>
      <c r="K1784" s="460" t="e">
        <v>#N/A</v>
      </c>
      <c r="L1784" s="459" t="e">
        <v>#N/A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profl maskujący 3,5m srebrny elox</v>
      </c>
      <c r="C1785" s="185" t="e">
        <f t="shared" si="55"/>
        <v>#N/A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 t="e">
        <v>#N/A</v>
      </c>
      <c r="I1785" s="460" t="e">
        <v>#N/A</v>
      </c>
      <c r="J1785" s="460" t="e">
        <v>#N/A</v>
      </c>
      <c r="K1785" s="460" t="e">
        <v>#N/A</v>
      </c>
      <c r="L1785" s="459" t="e">
        <v>#N/A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Tor górny Gemini 3 m, biały matowy</v>
      </c>
      <c r="C1786" s="185">
        <f t="shared" si="55"/>
        <v>131.79419999999999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12499.626490000001</v>
      </c>
      <c r="L1786" s="459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S-komplet okuć S55B</v>
      </c>
      <c r="C1790" s="185">
        <f t="shared" si="55"/>
        <v>56.740940000000002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301.35000000000002</v>
      </c>
      <c r="I1790" s="460">
        <v>12.86153</v>
      </c>
      <c r="J1790" s="460">
        <v>56.740940000000002</v>
      </c>
      <c r="K1790" s="460" t="e">
        <v>#N/A</v>
      </c>
      <c r="L1790" s="459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IC-uszczelka do szkła 10/6mm</v>
      </c>
      <c r="C1791" s="185" t="e">
        <f t="shared" si="55"/>
        <v>#N/A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 t="e">
        <v>#N/A</v>
      </c>
      <c r="I1791" s="460" t="e">
        <v>#N/A</v>
      </c>
      <c r="J1791" s="460" t="e">
        <v>#N/A</v>
      </c>
      <c r="K1791" s="460" t="e">
        <v>#N/A</v>
      </c>
      <c r="L1791" s="459" t="e">
        <v>#N/A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IC-tor górny prosty 2m szampański</v>
      </c>
      <c r="C1792" s="185" t="e">
        <f t="shared" si="55"/>
        <v>#N/A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 t="e">
        <v>#N/A</v>
      </c>
      <c r="I1792" s="460" t="e">
        <v>#N/A</v>
      </c>
      <c r="J1792" s="460" t="e">
        <v>#N/A</v>
      </c>
      <c r="K1792" s="460" t="e">
        <v>#N/A</v>
      </c>
      <c r="L1792" s="459" t="e">
        <v>#N/A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IC-tor górny prosty 3m szampański</v>
      </c>
      <c r="C1793" s="185" t="e">
        <f t="shared" si="55"/>
        <v>#N/A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 t="e">
        <v>#N/A</v>
      </c>
      <c r="I1793" s="460" t="e">
        <v>#N/A</v>
      </c>
      <c r="J1793" s="460" t="e">
        <v>#N/A</v>
      </c>
      <c r="K1793" s="460" t="e">
        <v>#N/A</v>
      </c>
      <c r="L1793" s="459" t="e">
        <v>#N/A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IC-tor górny prosty 5m szampański</v>
      </c>
      <c r="C1794" s="185" t="e">
        <f t="shared" si="55"/>
        <v>#N/A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 t="e">
        <v>#N/A</v>
      </c>
      <c r="I1794" s="460" t="e">
        <v>#N/A</v>
      </c>
      <c r="J1794" s="460" t="e">
        <v>#N/A</v>
      </c>
      <c r="K1794" s="460" t="e">
        <v>#N/A</v>
      </c>
      <c r="L1794" s="459" t="e">
        <v>#N/A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IC-tor dolny prosty 2m szampański</v>
      </c>
      <c r="C1795" s="185" t="e">
        <f t="shared" si="55"/>
        <v>#N/A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 t="e">
        <v>#N/A</v>
      </c>
      <c r="I1795" s="460" t="e">
        <v>#N/A</v>
      </c>
      <c r="J1795" s="460" t="e">
        <v>#N/A</v>
      </c>
      <c r="K1795" s="460" t="e">
        <v>#N/A</v>
      </c>
      <c r="L1795" s="459" t="e">
        <v>#N/A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IC-tor dolny prosty 3m szampański</v>
      </c>
      <c r="C1796" s="185" t="e">
        <f t="shared" ref="C1796:C1859" si="57">IF($A$2=1,H1796,IF($A$2=2,I1796,IF($A$2=3,J1796,IF($A$2=4,K1796,IF($A$2&gt;4,O1796,"zadat jazyk")))))</f>
        <v>#N/A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 t="e">
        <v>#N/A</v>
      </c>
      <c r="I1796" s="460" t="e">
        <v>#N/A</v>
      </c>
      <c r="J1796" s="460" t="e">
        <v>#N/A</v>
      </c>
      <c r="K1796" s="460" t="e">
        <v>#N/A</v>
      </c>
      <c r="L1796" s="459" t="e">
        <v>#N/A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IC-tor dolny prosty 5m szampański</v>
      </c>
      <c r="C1797" s="185" t="e">
        <f t="shared" si="57"/>
        <v>#N/A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 t="e">
        <v>#N/A</v>
      </c>
      <c r="I1797" s="460" t="e">
        <v>#N/A</v>
      </c>
      <c r="J1797" s="460" t="e">
        <v>#N/A</v>
      </c>
      <c r="K1797" s="460" t="e">
        <v>#N/A</v>
      </c>
      <c r="L1797" s="459" t="e">
        <v>#N/A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IC-rączka Comfort 12mm 2,6m  szampan</v>
      </c>
      <c r="C1798" s="185" t="e">
        <f t="shared" si="57"/>
        <v>#N/A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 t="e">
        <v>#N/A</v>
      </c>
      <c r="I1798" s="460" t="e">
        <v>#N/A</v>
      </c>
      <c r="J1798" s="460" t="e">
        <v>#N/A</v>
      </c>
      <c r="K1798" s="460" t="e">
        <v>#N/A</v>
      </c>
      <c r="L1798" s="459" t="e">
        <v>#N/A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tłumienie</v>
      </c>
      <c r="C1805" s="185" t="e">
        <f t="shared" si="57"/>
        <v>#N/A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 t="e">
        <v>#N/A</v>
      </c>
      <c r="I1805" s="460" t="e">
        <v>#N/A</v>
      </c>
      <c r="J1805" s="460" t="e">
        <v>#N/A</v>
      </c>
      <c r="K1805" s="460" t="e">
        <v>#N/A</v>
      </c>
      <c r="L1805" s="459" t="e">
        <v>#N/A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srebrny elox 2,7m</v>
      </c>
      <c r="C1811" s="185">
        <f t="shared" si="57"/>
        <v>115.69617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614.46</v>
      </c>
      <c r="I1811" s="460">
        <v>26.22495</v>
      </c>
      <c r="J1811" s="460">
        <v>115.69617</v>
      </c>
      <c r="K1811" s="460" t="e">
        <v>#N/A</v>
      </c>
      <c r="L1811" s="459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profil prowadzący alu elox 1,2m</v>
      </c>
      <c r="C1812" s="185" t="e">
        <f t="shared" si="57"/>
        <v>#N/A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 t="e">
        <v>#N/A</v>
      </c>
      <c r="I1812" s="460" t="e">
        <v>#N/A</v>
      </c>
      <c r="J1812" s="460" t="e">
        <v>#N/A</v>
      </c>
      <c r="K1812" s="460" t="e">
        <v>#N/A</v>
      </c>
      <c r="L1812" s="459" t="e">
        <v>#N/A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dolny poprzeczka 3m srebrny</v>
      </c>
      <c r="C1813" s="185" t="e">
        <f t="shared" si="57"/>
        <v>#N/A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 t="e">
        <v>#N/A</v>
      </c>
      <c r="I1813" s="460" t="e">
        <v>#N/A</v>
      </c>
      <c r="J1813" s="460" t="e">
        <v>#N/A</v>
      </c>
      <c r="K1813" s="460" t="e">
        <v>#N/A</v>
      </c>
      <c r="L1813" s="459" t="e">
        <v>#N/A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S-uszczelka do szkła 4mm</v>
      </c>
      <c r="C1814" s="185" t="e">
        <f t="shared" si="57"/>
        <v>#N/A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 t="e">
        <v>#N/A</v>
      </c>
      <c r="I1814" s="460" t="e">
        <v>#N/A</v>
      </c>
      <c r="J1814" s="460" t="e">
        <v>#N/A</v>
      </c>
      <c r="K1814" s="460" t="e">
        <v>#N/A</v>
      </c>
      <c r="L1814" s="459" t="e">
        <v>#N/A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srebrny</v>
      </c>
      <c r="C1815" s="185" t="e">
        <f t="shared" si="57"/>
        <v>#N/A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 t="e">
        <v>#N/A</v>
      </c>
      <c r="I1815" s="460" t="e">
        <v>#N/A</v>
      </c>
      <c r="J1815" s="460" t="e">
        <v>#N/A</v>
      </c>
      <c r="K1815" s="460" t="e">
        <v>#N/A</v>
      </c>
      <c r="L1815" s="459" t="e">
        <v>#N/A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TWIN-wzmocnienie 1860mm</v>
      </c>
      <c r="C1816" s="185">
        <f t="shared" si="57"/>
        <v>27.606100000000001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799</v>
      </c>
      <c r="I1816" s="460">
        <v>32.700000000000003</v>
      </c>
      <c r="J1816" s="460">
        <v>27.606100000000001</v>
      </c>
      <c r="K1816" s="460" t="e">
        <v>#N/A</v>
      </c>
      <c r="L1816" s="459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S-uszczelka do szkła 6mm</v>
      </c>
      <c r="C1818" s="185" t="e">
        <f t="shared" si="57"/>
        <v>#N/A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 t="e">
        <v>#N/A</v>
      </c>
      <c r="I1818" s="460" t="e">
        <v>#N/A</v>
      </c>
      <c r="J1818" s="460" t="e">
        <v>#N/A</v>
      </c>
      <c r="K1818" s="460" t="e">
        <v>#N/A</v>
      </c>
      <c r="L1818" s="459" t="e">
        <v>#N/A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dolny poprzeczka 3,5m srebrny</v>
      </c>
      <c r="C1819" s="185" t="e">
        <f t="shared" si="57"/>
        <v>#N/A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 t="e">
        <v>#N/A</v>
      </c>
      <c r="I1819" s="460" t="e">
        <v>#N/A</v>
      </c>
      <c r="J1819" s="460" t="e">
        <v>#N/A</v>
      </c>
      <c r="K1819" s="460" t="e">
        <v>#N/A</v>
      </c>
      <c r="L1819" s="459" t="e">
        <v>#N/A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górna i środkowa poprzeczka 3,5m srebrny</v>
      </c>
      <c r="C1820" s="185" t="e">
        <f t="shared" si="57"/>
        <v>#N/A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 t="e">
        <v>#N/A</v>
      </c>
      <c r="I1820" s="460" t="e">
        <v>#N/A</v>
      </c>
      <c r="J1820" s="460" t="e">
        <v>#N/A</v>
      </c>
      <c r="K1820" s="460" t="e">
        <v>#N/A</v>
      </c>
      <c r="L1820" s="459" t="e">
        <v>#N/A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 S17 2,7m srebrny</v>
      </c>
      <c r="C1821" s="185" t="e">
        <f t="shared" si="57"/>
        <v>#N/A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 t="e">
        <v>#N/A</v>
      </c>
      <c r="I1821" s="460" t="e">
        <v>#N/A</v>
      </c>
      <c r="J1821" s="460" t="e">
        <v>#N/A</v>
      </c>
      <c r="K1821" s="460" t="e">
        <v>#N/A</v>
      </c>
      <c r="L1821" s="459" t="e">
        <v>#N/A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tłumienie</v>
      </c>
      <c r="C1822" s="185" t="e">
        <f t="shared" si="57"/>
        <v>#N/A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 t="e">
        <v>#N/A</v>
      </c>
      <c r="I1822" s="460" t="e">
        <v>#N/A</v>
      </c>
      <c r="J1822" s="460" t="e">
        <v>#N/A</v>
      </c>
      <c r="K1822" s="460" t="e">
        <v>#N/A</v>
      </c>
      <c r="L1822" s="459" t="e">
        <v>#N/A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tłumienie</v>
      </c>
      <c r="C1823" s="185" t="e">
        <f t="shared" si="57"/>
        <v>#N/A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 t="e">
        <v>#N/A</v>
      </c>
      <c r="I1823" s="460" t="e">
        <v>#N/A</v>
      </c>
      <c r="J1823" s="460" t="e">
        <v>#N/A</v>
      </c>
      <c r="K1823" s="460" t="e">
        <v>#N/A</v>
      </c>
      <c r="L1823" s="459" t="e">
        <v>#N/A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tłumienie</v>
      </c>
      <c r="C1824" s="185" t="e">
        <f t="shared" si="57"/>
        <v>#N/A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 t="e">
        <v>#N/A</v>
      </c>
      <c r="I1824" s="460" t="e">
        <v>#N/A</v>
      </c>
      <c r="J1824" s="460" t="e">
        <v>#N/A</v>
      </c>
      <c r="K1824" s="460" t="e">
        <v>#N/A</v>
      </c>
      <c r="L1824" s="459" t="e">
        <v>#N/A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obciążenie170 kg</v>
      </c>
      <c r="C1825" s="185" t="e">
        <f t="shared" si="57"/>
        <v>#N/A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 t="e">
        <v>#N/A</v>
      </c>
      <c r="I1825" s="460" t="e">
        <v>#N/A</v>
      </c>
      <c r="J1825" s="460" t="e">
        <v>#N/A</v>
      </c>
      <c r="K1825" s="460" t="e">
        <v>#N/A</v>
      </c>
      <c r="L1825" s="459" t="e">
        <v>#N/A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tłumienie</v>
      </c>
      <c r="C1826" s="185" t="e">
        <f t="shared" si="57"/>
        <v>#N/A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 t="e">
        <v>#N/A</v>
      </c>
      <c r="I1826" s="460" t="e">
        <v>#N/A</v>
      </c>
      <c r="J1826" s="460" t="e">
        <v>#N/A</v>
      </c>
      <c r="K1826" s="460" t="e">
        <v>#N/A</v>
      </c>
      <c r="L1826" s="459" t="e">
        <v>#N/A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dolna listwa maskująca Simple/Blue 2m(do lam.18mm) biały błyszczący</v>
      </c>
      <c r="C1827" s="185">
        <f t="shared" si="57"/>
        <v>85.189250000000001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6775.10851</v>
      </c>
      <c r="L1827" s="459" t="s">
        <v>539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maskownica dolna Simple/Blue 3m (do płyty laminowanej 18mm) biały połysk</v>
      </c>
      <c r="C1828" s="185">
        <f t="shared" si="57"/>
        <v>127.83893999999999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10152.490110000001</v>
      </c>
      <c r="L1828" s="459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górna listwa prowadząca Simple/Blue 2m (do lam. 18mm)biały błyszczący</v>
      </c>
      <c r="C1829" s="185">
        <f t="shared" si="57"/>
        <v>44.207169999999998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3458.7641899999999</v>
      </c>
      <c r="L1829" s="459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tor dolny Simple/Blue 3m (do płyty laminowanej 18mm) srebrny</v>
      </c>
      <c r="C1830" s="185">
        <f t="shared" si="57"/>
        <v>66.326480000000004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5188.1462799999999</v>
      </c>
      <c r="L1830" s="459" t="s">
        <v>539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listwa łącząca Simple/Blue H21 3m (do płyty laminowanej 18mm) biały poły</v>
      </c>
      <c r="C1831" s="185">
        <f t="shared" si="57"/>
        <v>61.339410000000001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5808.6891100000003</v>
      </c>
      <c r="L1831" s="459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listwa łącząca Simple/Blue H28 3m (do płyty laminowanej 18mm) biały poły</v>
      </c>
      <c r="C1832" s="185">
        <f t="shared" si="57"/>
        <v>93.29128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10060.93482</v>
      </c>
      <c r="L1832" s="459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Blue-V tor dolny 2m  biały połysk</v>
      </c>
      <c r="C1833" s="185">
        <f t="shared" si="57"/>
        <v>44.993769999999998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4099.6527800000003</v>
      </c>
      <c r="L1833" s="459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Blue-V tor dolny 3m biały połysk</v>
      </c>
      <c r="C1834" s="185">
        <f t="shared" si="57"/>
        <v>67.490650000000002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6154.5656900000004</v>
      </c>
      <c r="L1834" s="459" t="s">
        <v>538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Blue-V tor dolny 6m biały połysk</v>
      </c>
      <c r="C1835" s="185">
        <f t="shared" si="57"/>
        <v>0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0</v>
      </c>
      <c r="K1835" s="460">
        <v>12298.958689999999</v>
      </c>
      <c r="L1835" s="459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Blue tor gótny 2m biały błyszczący</v>
      </c>
      <c r="C1836" s="185">
        <f t="shared" si="57"/>
        <v>66.342209999999994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7670.3183900000004</v>
      </c>
      <c r="L1836" s="459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Blue tor górny 3m biały połysk</v>
      </c>
      <c r="C1837" s="185">
        <f t="shared" si="57"/>
        <v>99.55265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11505.47718</v>
      </c>
      <c r="L1837" s="459" t="s">
        <v>539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Blue tor górny 6m biały połysk</v>
      </c>
      <c r="C1838" s="185">
        <f t="shared" si="57"/>
        <v>0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0</v>
      </c>
      <c r="K1838" s="460">
        <v>23010.95477</v>
      </c>
      <c r="L1838" s="459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04920 Lynx Rączka 2,7m srebrna</v>
      </c>
      <c r="C1839" s="185">
        <f t="shared" si="57"/>
        <v>80.671800000000005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8673.6189099999992</v>
      </c>
      <c r="L1839" s="459" t="s">
        <v>539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Rączka Lynx 2,7m oliwka</v>
      </c>
      <c r="C1840" s="185" t="e">
        <f t="shared" si="57"/>
        <v>#N/A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 t="e">
        <v>#N/A</v>
      </c>
      <c r="I1840" s="460" t="e">
        <v>#N/A</v>
      </c>
      <c r="J1840" s="460" t="e">
        <v>#N/A</v>
      </c>
      <c r="K1840" s="460" t="e">
        <v>#N/A</v>
      </c>
      <c r="L1840" s="459" t="e">
        <v>#N/A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Alfa II rączka 18mm 2,7m biały matowy</v>
      </c>
      <c r="C1841" s="185">
        <f t="shared" si="57"/>
        <v>66.463200000000001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6329.9391800000003</v>
      </c>
      <c r="L1841" s="459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Elegant II tor dolny 1,7 m biały matowy</v>
      </c>
      <c r="C1842" s="185">
        <f t="shared" si="57"/>
        <v>40.698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4176.5579900000002</v>
      </c>
      <c r="L1842" s="459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Elegant II tor dolny 2,35 m biały matowy</v>
      </c>
      <c r="C1843" s="185">
        <f t="shared" si="57"/>
        <v>56.253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5739.01116</v>
      </c>
      <c r="L1843" s="459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Elegant II tor dolny 4,05 m biały matowy</v>
      </c>
      <c r="C1844" s="185">
        <f t="shared" si="57"/>
        <v>96.930599999999998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9875.5060699999995</v>
      </c>
      <c r="L1844" s="459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Elegant II tor dolny 6m biały mat</v>
      </c>
      <c r="C1845" s="185">
        <f t="shared" si="57"/>
        <v>0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0</v>
      </c>
      <c r="K1845" s="460">
        <v>14592.91346</v>
      </c>
      <c r="L1845" s="459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hamulec</v>
      </c>
      <c r="C1851" s="185" t="e">
        <f t="shared" si="57"/>
        <v>#N/A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 t="e">
        <v>#N/A</v>
      </c>
      <c r="I1851" s="460" t="e">
        <v>#N/A</v>
      </c>
      <c r="J1851" s="460" t="e">
        <v>#N/A</v>
      </c>
      <c r="K1851" s="460" t="e">
        <v>#N/A</v>
      </c>
      <c r="L1851" s="459" t="e">
        <v>#N/A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 40/80/100 prowadzenie</v>
      </c>
      <c r="C1852" s="185">
        <f t="shared" si="57"/>
        <v>1.66072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8.82</v>
      </c>
      <c r="I1852" s="460">
        <v>0.37641999999999998</v>
      </c>
      <c r="J1852" s="460">
        <v>1.66072</v>
      </c>
      <c r="K1852" s="460" t="e">
        <v>#N/A</v>
      </c>
      <c r="L1852" s="459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MSE-Klucz imbusowy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Prosty szablon do wózków do laminatu 18mm</v>
      </c>
      <c r="C1854" s="185">
        <f t="shared" si="57"/>
        <v>20.175750000000001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/>
      </c>
      <c r="C1855" s="185" t="e">
        <f t="shared" si="57"/>
        <v>#N/A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 t="e">
        <v>#N/A</v>
      </c>
      <c r="I1855" s="460" t="e">
        <v>#N/A</v>
      </c>
      <c r="J1855" s="460" t="e">
        <v>#N/A</v>
      </c>
      <c r="K1855" s="460" t="e">
        <v>#N/A</v>
      </c>
      <c r="L1855" s="459" t="e">
        <v>#N/A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/>
      </c>
      <c r="C1856" s="185" t="e">
        <f t="shared" si="57"/>
        <v>#N/A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 t="e">
        <v>#N/A</v>
      </c>
      <c r="I1856" s="460" t="e">
        <v>#N/A</v>
      </c>
      <c r="J1856" s="460" t="e">
        <v>#N/A</v>
      </c>
      <c r="K1856" s="460" t="e">
        <v>#N/A</v>
      </c>
      <c r="L1856" s="459" t="e">
        <v>#N/A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/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Fox II rączka 2,7m czarny mat</v>
      </c>
      <c r="C1860" s="185">
        <f t="shared" ref="C1860:C1923" si="59">IF($A$2=1,H1860,IF($A$2=2,I1860,IF($A$2=3,J1860,IF($A$2=4,K1860,IF($A$2&gt;4,O1860,"zadat jazyk")))))</f>
        <v>80.416799999999995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8313.0529399999996</v>
      </c>
      <c r="L1860" s="459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Eden zestaw okuć dla 2 drzwi</v>
      </c>
      <c r="C1863" s="185">
        <f t="shared" si="59"/>
        <v>161.16269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18038.323110000001</v>
      </c>
      <c r="L1863" s="459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Eden zestaw okuć do drzwi wewnętrznych</v>
      </c>
      <c r="C1864" s="185">
        <f t="shared" si="59"/>
        <v>79.641750000000002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8913.9965200000006</v>
      </c>
      <c r="L1864" s="459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Eden tor górny 1,7m srebrny</v>
      </c>
      <c r="C1865" s="185">
        <f t="shared" si="59"/>
        <v>28.008849999999999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3134.92229</v>
      </c>
      <c r="L1865" s="459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Eden tor górny 1,7m biały połysk</v>
      </c>
      <c r="C1866" s="185" t="e">
        <f t="shared" si="59"/>
        <v>#N/A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 t="e">
        <v>#N/A</v>
      </c>
      <c r="I1866" s="460" t="e">
        <v>#N/A</v>
      </c>
      <c r="J1866" s="460" t="e">
        <v>#N/A</v>
      </c>
      <c r="K1866" s="460" t="e">
        <v>#N/A</v>
      </c>
      <c r="L1866" s="459" t="e">
        <v>#N/A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Eden tor górny 2,35m srebrny</v>
      </c>
      <c r="C1867" s="185">
        <f t="shared" si="59"/>
        <v>38.65757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4326.7938999999997</v>
      </c>
      <c r="L1867" s="459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Eden tor górny 2,35m biały połysk</v>
      </c>
      <c r="C1868" s="185" t="e">
        <f t="shared" si="59"/>
        <v>#N/A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 t="e">
        <v>#N/A</v>
      </c>
      <c r="I1868" s="460" t="e">
        <v>#N/A</v>
      </c>
      <c r="J1868" s="460" t="e">
        <v>#N/A</v>
      </c>
      <c r="K1868" s="460" t="e">
        <v>#N/A</v>
      </c>
      <c r="L1868" s="459" t="e">
        <v>#N/A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Eden tor górny 3m srebrny</v>
      </c>
      <c r="C1869" s="185">
        <f t="shared" si="59"/>
        <v>49.395780000000002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5528.6810599999999</v>
      </c>
      <c r="L1869" s="459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Eden tor górny 3m biały połysk</v>
      </c>
      <c r="C1870" s="185">
        <f t="shared" si="59"/>
        <v>64.250320000000002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7191.2914899999996</v>
      </c>
      <c r="L1870" s="459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Eden tor górny 6m srebrny</v>
      </c>
      <c r="C1871" s="185">
        <f t="shared" si="59"/>
        <v>0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0</v>
      </c>
      <c r="K1871" s="460">
        <v>11057.36212</v>
      </c>
      <c r="L1871" s="459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Eden tor górny 6m biały połysk</v>
      </c>
      <c r="C1872" s="185">
        <f t="shared" si="59"/>
        <v>0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0</v>
      </c>
      <c r="K1872" s="460">
        <v>14372.5674</v>
      </c>
      <c r="L1872" s="459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Eden listwa pozioma 1,7m srebrny</v>
      </c>
      <c r="C1873" s="185" t="e">
        <f t="shared" si="59"/>
        <v>#N/A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 t="e">
        <v>#N/A</v>
      </c>
      <c r="I1873" s="460" t="e">
        <v>#N/A</v>
      </c>
      <c r="J1873" s="460" t="e">
        <v>#N/A</v>
      </c>
      <c r="K1873" s="460" t="e">
        <v>#N/A</v>
      </c>
      <c r="L1873" s="459" t="e">
        <v>#N/A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Eden XL listwa pozioma 1,7m srebrny</v>
      </c>
      <c r="C1874" s="185">
        <f t="shared" si="59"/>
        <v>84.294979999999995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9434.8143600000003</v>
      </c>
      <c r="L1874" s="459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Eden XL listwa pozioma 1,7m biały połysk</v>
      </c>
      <c r="C1875" s="185" t="e">
        <f t="shared" si="59"/>
        <v>#N/A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 t="e">
        <v>#N/A</v>
      </c>
      <c r="I1875" s="460" t="e">
        <v>#N/A</v>
      </c>
      <c r="J1875" s="460" t="e">
        <v>#N/A</v>
      </c>
      <c r="K1875" s="460" t="e">
        <v>#N/A</v>
      </c>
      <c r="L1875" s="459" t="e">
        <v>#N/A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Eden listwa pozioma 1,7m biały połysk</v>
      </c>
      <c r="C1876" s="185" t="e">
        <f t="shared" si="59"/>
        <v>#N/A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 t="e">
        <v>#N/A</v>
      </c>
      <c r="I1876" s="460" t="e">
        <v>#N/A</v>
      </c>
      <c r="J1876" s="460" t="e">
        <v>#N/A</v>
      </c>
      <c r="K1876" s="460" t="e">
        <v>#N/A</v>
      </c>
      <c r="L1876" s="459" t="e">
        <v>#N/A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Eden listwa pozioma 2,35m biały połysk</v>
      </c>
      <c r="C1877" s="185">
        <f t="shared" si="59"/>
        <v>136.01739000000001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15223.90415</v>
      </c>
      <c r="L1877" s="459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Eden XL listwa pozioma 2,35m biały połysk</v>
      </c>
      <c r="C1878" s="185" t="e">
        <f t="shared" si="59"/>
        <v>#N/A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 t="e">
        <v>#N/A</v>
      </c>
      <c r="I1878" s="460" t="e">
        <v>#N/A</v>
      </c>
      <c r="J1878" s="460" t="e">
        <v>#N/A</v>
      </c>
      <c r="K1878" s="460" t="e">
        <v>#N/A</v>
      </c>
      <c r="L1878" s="459" t="e">
        <v>#N/A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Eden XL listwa pozioma 2,35m srebrny</v>
      </c>
      <c r="C1879" s="185" t="e">
        <f t="shared" si="59"/>
        <v>#N/A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 t="e">
        <v>#N/A</v>
      </c>
      <c r="I1879" s="460" t="e">
        <v>#N/A</v>
      </c>
      <c r="J1879" s="460" t="e">
        <v>#N/A</v>
      </c>
      <c r="K1879" s="460" t="e">
        <v>#N/A</v>
      </c>
      <c r="L1879" s="459" t="e">
        <v>#N/A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Eden listwa pozioma 2,35m srebrny</v>
      </c>
      <c r="C1880" s="185" t="e">
        <f t="shared" si="59"/>
        <v>#N/A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 t="e">
        <v>#N/A</v>
      </c>
      <c r="I1880" s="460" t="e">
        <v>#N/A</v>
      </c>
      <c r="J1880" s="460" t="e">
        <v>#N/A</v>
      </c>
      <c r="K1880" s="460" t="e">
        <v>#N/A</v>
      </c>
      <c r="L1880" s="459" t="e">
        <v>#N/A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Eden listwa pozioma 3m srebrny</v>
      </c>
      <c r="C1881" s="185">
        <f t="shared" si="59"/>
        <v>133.51179999999999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 t="e">
        <v>#N/A</v>
      </c>
      <c r="L1881" s="459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Eden XL listwa pozioma 3m srebrny</v>
      </c>
      <c r="C1882" s="185" t="e">
        <f t="shared" si="59"/>
        <v>#N/A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 t="e">
        <v>#N/A</v>
      </c>
      <c r="I1882" s="460" t="e">
        <v>#N/A</v>
      </c>
      <c r="J1882" s="460" t="e">
        <v>#N/A</v>
      </c>
      <c r="K1882" s="460" t="e">
        <v>#N/A</v>
      </c>
      <c r="L1882" s="459" t="e">
        <v>#N/A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Eden XL listwa pozioma 3m biały połysk</v>
      </c>
      <c r="C1883" s="185" t="e">
        <f t="shared" si="59"/>
        <v>#N/A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 t="e">
        <v>#N/A</v>
      </c>
      <c r="I1883" s="460" t="e">
        <v>#N/A</v>
      </c>
      <c r="J1883" s="460" t="e">
        <v>#N/A</v>
      </c>
      <c r="K1883" s="460" t="e">
        <v>#N/A</v>
      </c>
      <c r="L1883" s="459" t="e">
        <v>#N/A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Eden listwa pozioma 3m biały połysk</v>
      </c>
      <c r="C1884" s="185">
        <f t="shared" si="59"/>
        <v>173.60113999999999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19430.509249999999</v>
      </c>
      <c r="L1884" s="459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Eden górna maskownica 1,1 m srebrna</v>
      </c>
      <c r="C1885" s="185">
        <f t="shared" si="59"/>
        <v>12.885859999999999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1442.26478</v>
      </c>
      <c r="L1885" s="459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Szpros S10 3m srebrny</v>
      </c>
      <c r="C1887" s="185" t="e">
        <f t="shared" si="59"/>
        <v>#N/A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 t="e">
        <v>#N/A</v>
      </c>
      <c r="I1887" s="460" t="e">
        <v>#N/A</v>
      </c>
      <c r="J1887" s="460" t="e">
        <v>#N/A</v>
      </c>
      <c r="K1887" s="460" t="e">
        <v>#N/A</v>
      </c>
      <c r="L1887" s="459" t="e">
        <v>#N/A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Szpros S20 3m srebrny</v>
      </c>
      <c r="C1888" s="185" t="e">
        <f t="shared" si="59"/>
        <v>#N/A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 t="e">
        <v>#N/A</v>
      </c>
      <c r="I1888" s="460" t="e">
        <v>#N/A</v>
      </c>
      <c r="J1888" s="460" t="e">
        <v>#N/A</v>
      </c>
      <c r="K1888" s="460" t="e">
        <v>#N/A</v>
      </c>
      <c r="L1888" s="459" t="e">
        <v>#N/A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 t="e">
        <f t="shared" si="59"/>
        <v>#N/A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 t="e">
        <v>#N/A</v>
      </c>
      <c r="I1889" s="460" t="e">
        <v>#N/A</v>
      </c>
      <c r="J1889" s="460" t="e">
        <v>#N/A</v>
      </c>
      <c r="K1889" s="460" t="e">
        <v>#N/A</v>
      </c>
      <c r="L1889" s="459" t="e">
        <v>#N/A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/>
      </c>
      <c r="C1890" s="185">
        <f t="shared" si="59"/>
        <v>49.821309999999997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264.60000000000002</v>
      </c>
      <c r="I1890" s="460">
        <v>11.293049999999999</v>
      </c>
      <c r="J1890" s="460">
        <v>49.821309999999997</v>
      </c>
      <c r="K1890" s="460" t="e">
        <v>#N/A</v>
      </c>
      <c r="L1890" s="459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/>
      </c>
      <c r="C1891" s="185" t="e">
        <f t="shared" si="59"/>
        <v>#N/A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 t="e">
        <v>#N/A</v>
      </c>
      <c r="I1891" s="460" t="e">
        <v>#N/A</v>
      </c>
      <c r="J1891" s="460" t="e">
        <v>#N/A</v>
      </c>
      <c r="K1891" s="460" t="e">
        <v>#N/A</v>
      </c>
      <c r="L1891" s="459" t="e">
        <v>#N/A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/>
      </c>
      <c r="C1892" s="185" t="e">
        <f t="shared" si="59"/>
        <v>#N/A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 t="e">
        <v>#N/A</v>
      </c>
      <c r="I1892" s="460" t="e">
        <v>#N/A</v>
      </c>
      <c r="J1892" s="460" t="e">
        <v>#N/A</v>
      </c>
      <c r="K1892" s="460" t="e">
        <v>#N/A</v>
      </c>
      <c r="L1892" s="459" t="e">
        <v>#N/A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ZR18 zestaw do drzwi rozwieranych</v>
      </c>
      <c r="C1893" s="185">
        <f t="shared" si="59"/>
        <v>99.2256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10947.188889999999</v>
      </c>
      <c r="L1893" s="459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Trzpień torowy Omge 1390/1400</v>
      </c>
      <c r="C1894" s="185">
        <f t="shared" si="59"/>
        <v>3.7972899999999998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 t="e">
        <v>#N/A</v>
      </c>
      <c r="L1894" s="459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Al profil górny anod. 13/18 mm do kabin WC, délka 3,2m</v>
      </c>
      <c r="C1895" s="185">
        <f t="shared" si="59"/>
        <v>241.58763999999999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1730.6454000000001</v>
      </c>
      <c r="I1895" s="460">
        <v>66.124799999999993</v>
      </c>
      <c r="J1895" s="460">
        <v>241.58763999999999</v>
      </c>
      <c r="K1895" s="460" t="e">
        <v>#N/A</v>
      </c>
      <c r="L1895" s="459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elox profil górny 10/25 mm do kabin WC, délka 3,2m</v>
      </c>
      <c r="C1896" s="185">
        <f t="shared" si="59"/>
        <v>239.51509999999999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1730.6454000000001</v>
      </c>
      <c r="I1896" s="460">
        <v>66.124799999999993</v>
      </c>
      <c r="J1896" s="460">
        <v>239.51509999999999</v>
      </c>
      <c r="K1896" s="460" t="e">
        <v>#N/A</v>
      </c>
      <c r="L1896" s="459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tłumienie</v>
      </c>
      <c r="C1900" s="185">
        <f t="shared" si="59"/>
        <v>49.821309999999997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264.60000000000002</v>
      </c>
      <c r="I1900" s="460">
        <v>11.293049999999999</v>
      </c>
      <c r="J1900" s="460">
        <v>49.821309999999997</v>
      </c>
      <c r="K1900" s="460" t="e">
        <v>#N/A</v>
      </c>
      <c r="L1900" s="459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tłumienie</v>
      </c>
      <c r="C1901" s="185">
        <f t="shared" si="59"/>
        <v>49.821309999999997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264.60000000000002</v>
      </c>
      <c r="I1901" s="460">
        <v>11.293049999999999</v>
      </c>
      <c r="J1901" s="460">
        <v>49.821309999999997</v>
      </c>
      <c r="K1901" s="460" t="e">
        <v>#N/A</v>
      </c>
      <c r="L1901" s="459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IC-tor górny EU 4 m szampan</v>
      </c>
      <c r="C1902" s="185" t="e">
        <f t="shared" si="59"/>
        <v>#N/A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 t="e">
        <v>#N/A</v>
      </c>
      <c r="I1902" s="460" t="e">
        <v>#N/A</v>
      </c>
      <c r="J1902" s="460" t="e">
        <v>#N/A</v>
      </c>
      <c r="K1902" s="460" t="e">
        <v>#N/A</v>
      </c>
      <c r="L1902" s="459" t="e">
        <v>#N/A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IC-tor dolny EU 4m szampański</v>
      </c>
      <c r="C1903" s="185" t="e">
        <f t="shared" si="59"/>
        <v>#N/A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 t="e">
        <v>#N/A</v>
      </c>
      <c r="I1903" s="460" t="e">
        <v>#N/A</v>
      </c>
      <c r="J1903" s="460" t="e">
        <v>#N/A</v>
      </c>
      <c r="K1903" s="460" t="e">
        <v>#N/A</v>
      </c>
      <c r="L1903" s="459" t="e">
        <v>#N/A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IC-komplet wózków górnych (2szt.) do Rome</v>
      </c>
      <c r="C1904" s="185" t="e">
        <f t="shared" si="59"/>
        <v>#N/A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 t="e">
        <v>#N/A</v>
      </c>
      <c r="I1904" s="460" t="e">
        <v>#N/A</v>
      </c>
      <c r="J1904" s="460" t="e">
        <v>#N/A</v>
      </c>
      <c r="K1904" s="460" t="e">
        <v>#N/A</v>
      </c>
      <c r="L1904" s="459" t="e">
        <v>#N/A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IC-komplet wózków dolnych (2szt.) do Rome</v>
      </c>
      <c r="C1905" s="185" t="e">
        <f t="shared" si="59"/>
        <v>#N/A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 t="e">
        <v>#N/A</v>
      </c>
      <c r="I1905" s="460" t="e">
        <v>#N/A</v>
      </c>
      <c r="J1905" s="460" t="e">
        <v>#N/A</v>
      </c>
      <c r="K1905" s="460" t="e">
        <v>#N/A</v>
      </c>
      <c r="L1905" s="459" t="e">
        <v>#N/A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S-S45-pokrywa przednich drzwi 2m srebrny</v>
      </c>
      <c r="C1916" s="185" t="e">
        <f t="shared" si="59"/>
        <v>#N/A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 t="e">
        <v>#N/A</v>
      </c>
      <c r="I1916" s="460" t="e">
        <v>#N/A</v>
      </c>
      <c r="J1916" s="460" t="e">
        <v>#N/A</v>
      </c>
      <c r="K1916" s="460" t="e">
        <v>#N/A</v>
      </c>
      <c r="L1916" s="459" t="e">
        <v>#N/A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IC-szczotka odbojowa wsuwana 14,5x4mm</v>
      </c>
      <c r="C1917" s="185" t="e">
        <f t="shared" si="59"/>
        <v>#N/A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 t="e">
        <v>#N/A</v>
      </c>
      <c r="I1917" s="460" t="e">
        <v>#N/A</v>
      </c>
      <c r="J1917" s="460" t="e">
        <v>#N/A</v>
      </c>
      <c r="K1917" s="460" t="e">
        <v>#N/A</v>
      </c>
      <c r="L1917" s="459" t="e">
        <v>#N/A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komplet okuć do tłumienia Mini</v>
      </c>
      <c r="C1918" s="185">
        <f t="shared" si="59"/>
        <v>6.9930000000000003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820.11125000000004</v>
      </c>
      <c r="L1918" s="459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/>
      </c>
      <c r="C1920" s="185" t="e">
        <f t="shared" si="59"/>
        <v>#N/A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 t="e">
        <v>#N/A</v>
      </c>
      <c r="I1920" s="460" t="e">
        <v>#N/A</v>
      </c>
      <c r="J1920" s="460" t="e">
        <v>#N/A</v>
      </c>
      <c r="K1920" s="460" t="e">
        <v>#N/A</v>
      </c>
      <c r="L1920" s="459" t="e">
        <v>#N/A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profil maskujący Herakles 3m</v>
      </c>
      <c r="C1923" s="185" t="e">
        <f t="shared" si="59"/>
        <v>#N/A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 t="e">
        <v>#N/A</v>
      </c>
      <c r="I1923" s="460" t="e">
        <v>#N/A</v>
      </c>
      <c r="J1923" s="460" t="e">
        <v>#N/A</v>
      </c>
      <c r="K1923" s="460" t="e">
        <v>#N/A</v>
      </c>
      <c r="L1923" s="459" t="e">
        <v>#N/A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/>
      </c>
      <c r="C1924" s="185" t="e">
        <f t="shared" ref="C1924:C1987" si="61">IF($A$2=1,H1924,IF($A$2=2,I1924,IF($A$2=3,J1924,IF($A$2=4,K1924,IF($A$2&gt;4,O1924,"zadat jazyk")))))</f>
        <v>#N/A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 t="e">
        <v>#N/A</v>
      </c>
      <c r="I1924" s="460" t="e">
        <v>#N/A</v>
      </c>
      <c r="J1924" s="460" t="e">
        <v>#N/A</v>
      </c>
      <c r="K1924" s="460" t="e">
        <v>#N/A</v>
      </c>
      <c r="L1924" s="459" t="e">
        <v>#N/A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20392 Amortyzator Herakles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20393 Amortyzator Herakles 40 - 80kg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Zestaw okuć Herakles ZPH-18 na 1 skrzydło</v>
      </c>
      <c r="C1927" s="185">
        <f t="shared" si="61"/>
        <v>65.520989999999998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7246.6725800000004</v>
      </c>
      <c r="L1927" s="459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/>
      </c>
      <c r="C1928" s="185">
        <f t="shared" si="61"/>
        <v>6.39229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706.99252999999999</v>
      </c>
      <c r="L1928" s="459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DI-wózek dolny</v>
      </c>
      <c r="C1929" s="185" t="e">
        <f t="shared" si="61"/>
        <v>#N/A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 t="e">
        <v>#N/A</v>
      </c>
      <c r="I1929" s="460" t="e">
        <v>#N/A</v>
      </c>
      <c r="J1929" s="460" t="e">
        <v>#N/A</v>
      </c>
      <c r="K1929" s="460" t="e">
        <v>#N/A</v>
      </c>
      <c r="L1929" s="459" t="e">
        <v>#N/A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DI-wózek górny</v>
      </c>
      <c r="C1930" s="185" t="e">
        <f t="shared" si="61"/>
        <v>#N/A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 t="e">
        <v>#N/A</v>
      </c>
      <c r="I1930" s="460" t="e">
        <v>#N/A</v>
      </c>
      <c r="J1930" s="460" t="e">
        <v>#N/A</v>
      </c>
      <c r="K1930" s="460" t="e">
        <v>#N/A</v>
      </c>
      <c r="L1930" s="459" t="e">
        <v>#N/A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zestaw okuć ZSE-10</v>
      </c>
      <c r="C1931" s="185" t="e">
        <f t="shared" si="61"/>
        <v>#N/A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 t="e">
        <v>#N/A</v>
      </c>
      <c r="I1931" s="460" t="e">
        <v>#N/A</v>
      </c>
      <c r="J1931" s="460" t="e">
        <v>#N/A</v>
      </c>
      <c r="K1931" s="460" t="e">
        <v>#N/A</v>
      </c>
      <c r="L1931" s="459" t="e">
        <v>#N/A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górna listwa alu surowa 2m</v>
      </c>
      <c r="C1932" s="185" t="e">
        <f t="shared" si="61"/>
        <v>#N/A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 t="e">
        <v>#N/A</v>
      </c>
      <c r="I1932" s="460" t="e">
        <v>#N/A</v>
      </c>
      <c r="J1932" s="460" t="e">
        <v>#N/A</v>
      </c>
      <c r="K1932" s="460" t="e">
        <v>#N/A</v>
      </c>
      <c r="L1932" s="459" t="e">
        <v>#N/A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górna listwa alu surowa 3m</v>
      </c>
      <c r="C1933" s="185" t="e">
        <f t="shared" si="61"/>
        <v>#N/A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 t="e">
        <v>#N/A</v>
      </c>
      <c r="I1933" s="460" t="e">
        <v>#N/A</v>
      </c>
      <c r="J1933" s="460" t="e">
        <v>#N/A</v>
      </c>
      <c r="K1933" s="460" t="e">
        <v>#N/A</v>
      </c>
      <c r="L1933" s="459" t="e">
        <v>#N/A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dolny listwa alu surowa 2m</v>
      </c>
      <c r="C1934" s="185" t="e">
        <f t="shared" si="61"/>
        <v>#N/A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 t="e">
        <v>#N/A</v>
      </c>
      <c r="I1934" s="460" t="e">
        <v>#N/A</v>
      </c>
      <c r="J1934" s="460" t="e">
        <v>#N/A</v>
      </c>
      <c r="K1934" s="460" t="e">
        <v>#N/A</v>
      </c>
      <c r="L1934" s="459" t="e">
        <v>#N/A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S-komplet okuć S65-2</v>
      </c>
      <c r="C1941" s="185" t="e">
        <f t="shared" si="61"/>
        <v>#N/A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 t="e">
        <v>#N/A</v>
      </c>
      <c r="I1941" s="460" t="e">
        <v>#N/A</v>
      </c>
      <c r="J1941" s="460" t="e">
        <v>#N/A</v>
      </c>
      <c r="K1941" s="460" t="e">
        <v>#N/A</v>
      </c>
      <c r="L1941" s="459" t="e">
        <v>#N/A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srebrny elox 2,7m</v>
      </c>
      <c r="C1942" s="185">
        <f t="shared" si="61"/>
        <v>129.81219999999999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689.43</v>
      </c>
      <c r="I1942" s="460">
        <v>29.42464</v>
      </c>
      <c r="J1942" s="460">
        <v>129.81219999999999</v>
      </c>
      <c r="K1942" s="460" t="e">
        <v>#N/A</v>
      </c>
      <c r="L1942" s="459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/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Wzmocnienie drzwi maks. 2250mm czarny</v>
      </c>
      <c r="C1944" s="185">
        <f t="shared" si="61"/>
        <v>36.19802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7.8904800000000002</v>
      </c>
      <c r="J1944" s="460">
        <v>36.19802</v>
      </c>
      <c r="K1944" s="460" t="e">
        <v>#N/A</v>
      </c>
      <c r="L1944" s="459" t="s">
        <v>538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Wzmocnienie drzwi maks. 2250mm białe</v>
      </c>
      <c r="C1945" s="185">
        <f t="shared" si="61"/>
        <v>36.19802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7.8904800000000002</v>
      </c>
      <c r="J1945" s="460">
        <v>36.19802</v>
      </c>
      <c r="K1945" s="460" t="e">
        <v>#N/A</v>
      </c>
      <c r="L1945" s="459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Wzornik rączek 2017 zeszyt SPRZEDAŻ</v>
      </c>
      <c r="C1950" s="185" t="e">
        <f t="shared" si="61"/>
        <v>#N/A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 t="e">
        <v>#N/A</v>
      </c>
      <c r="I1950" s="460" t="e">
        <v>#N/A</v>
      </c>
      <c r="J1950" s="460" t="e">
        <v>#N/A</v>
      </c>
      <c r="K1950" s="460" t="e">
        <v>#N/A</v>
      </c>
      <c r="L1950" s="459" t="e">
        <v>#N/A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tłumienie</v>
      </c>
      <c r="C1951" s="185" t="e">
        <f t="shared" si="61"/>
        <v>#N/A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 t="e">
        <v>#N/A</v>
      </c>
      <c r="I1951" s="460" t="e">
        <v>#N/A</v>
      </c>
      <c r="J1951" s="460" t="e">
        <v>#N/A</v>
      </c>
      <c r="K1951" s="460" t="e">
        <v>#N/A</v>
      </c>
      <c r="L1951" s="459" t="e">
        <v>#N/A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kątownik Mini 17x11 mm 3 m czarny mat</v>
      </c>
      <c r="C1959" s="185">
        <f t="shared" si="61"/>
        <v>21.583200000000001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2163.3967400000001</v>
      </c>
      <c r="L1959" s="459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Gemini tor górny 3 m czarny mat</v>
      </c>
      <c r="C1960" s="185">
        <f t="shared" si="61"/>
        <v>131.79419999999999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12499.626490000001</v>
      </c>
      <c r="L1960" s="459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Elegant II tor dolny 3 m czarny mat</v>
      </c>
      <c r="C1961" s="185">
        <f t="shared" si="61"/>
        <v>71.808000000000007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7291.4487600000002</v>
      </c>
      <c r="L1961" s="459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srebrny</v>
      </c>
      <c r="C1963" s="185" t="e">
        <f t="shared" si="61"/>
        <v>#N/A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 t="e">
        <v>#N/A</v>
      </c>
      <c r="I1963" s="460" t="e">
        <v>#N/A</v>
      </c>
      <c r="J1963" s="460" t="e">
        <v>#N/A</v>
      </c>
      <c r="K1963" s="460" t="e">
        <v>#N/A</v>
      </c>
      <c r="L1963" s="459" t="e">
        <v>#N/A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/>
      </c>
      <c r="C1964" s="185" t="e">
        <f t="shared" si="61"/>
        <v>#N/A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 t="e">
        <v>#N/A</v>
      </c>
      <c r="I1964" s="460" t="e">
        <v>#N/A</v>
      </c>
      <c r="J1964" s="460" t="e">
        <v>#N/A</v>
      </c>
      <c r="K1964" s="460" t="e">
        <v>#N/A</v>
      </c>
      <c r="L1964" s="459" t="e">
        <v>#N/A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dolny poprzeczka 3m srebrny</v>
      </c>
      <c r="C1965" s="185" t="e">
        <f t="shared" si="61"/>
        <v>#N/A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 t="e">
        <v>#N/A</v>
      </c>
      <c r="I1965" s="460" t="e">
        <v>#N/A</v>
      </c>
      <c r="J1965" s="460" t="e">
        <v>#N/A</v>
      </c>
      <c r="K1965" s="460" t="e">
        <v>#N/A</v>
      </c>
      <c r="L1965" s="459" t="e">
        <v>#N/A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dolny profil prowadzący 2,5m srebrny</v>
      </c>
      <c r="C1966" s="185" t="e">
        <f t="shared" si="61"/>
        <v>#N/A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 t="e">
        <v>#N/A</v>
      </c>
      <c r="I1966" s="460" t="e">
        <v>#N/A</v>
      </c>
      <c r="J1966" s="460" t="e">
        <v>#N/A</v>
      </c>
      <c r="K1966" s="460" t="e">
        <v>#N/A</v>
      </c>
      <c r="L1966" s="459" t="e">
        <v>#N/A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S-komplet okuć S90-W1 inox 2,0m</v>
      </c>
      <c r="C1967" s="185" t="e">
        <f t="shared" si="61"/>
        <v>#N/A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 t="e">
        <v>#N/A</v>
      </c>
      <c r="I1967" s="460" t="e">
        <v>#N/A</v>
      </c>
      <c r="J1967" s="460" t="e">
        <v>#N/A</v>
      </c>
      <c r="K1967" s="460" t="e">
        <v>#N/A</v>
      </c>
      <c r="L1967" s="459" t="e">
        <v>#N/A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Alfa II rączka 18mm 2,7m czarny mat</v>
      </c>
      <c r="C1968" s="185">
        <f t="shared" si="61"/>
        <v>66.463200000000001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6329.9391800000003</v>
      </c>
      <c r="L1968" s="459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S-komplet okuć S80SC dopełnienie</v>
      </c>
      <c r="C1971" s="185" t="e">
        <f t="shared" si="61"/>
        <v>#N/A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 t="e">
        <v>#N/A</v>
      </c>
      <c r="I1971" s="460" t="e">
        <v>#N/A</v>
      </c>
      <c r="J1971" s="460" t="e">
        <v>#N/A</v>
      </c>
      <c r="K1971" s="460" t="e">
        <v>#N/A</v>
      </c>
      <c r="L1971" s="459" t="e">
        <v>#N/A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S-komplet okuć S36</v>
      </c>
      <c r="C1972" s="185" t="e">
        <f t="shared" si="61"/>
        <v>#N/A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 t="e">
        <v>#N/A</v>
      </c>
      <c r="I1972" s="460" t="e">
        <v>#N/A</v>
      </c>
      <c r="J1972" s="460" t="e">
        <v>#N/A</v>
      </c>
      <c r="K1972" s="460" t="e">
        <v>#N/A</v>
      </c>
      <c r="L1972" s="459" t="e">
        <v>#N/A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Linea drążek meblowy owalny 3m srebrny</v>
      </c>
      <c r="C1973" s="185">
        <f t="shared" si="61"/>
        <v>50.887799999999999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5618.8223600000001</v>
      </c>
      <c r="L1973" s="459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Linea łącznik kątowy profili</v>
      </c>
      <c r="C1974" s="185">
        <f t="shared" si="61"/>
        <v>4.5084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500.78631000000001</v>
      </c>
      <c r="L1974" s="459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Linea mocowanie ścienne / sufitowe</v>
      </c>
      <c r="C1975" s="185">
        <f t="shared" si="61"/>
        <v>3.9066000000000001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430.67615999999998</v>
      </c>
      <c r="L1975" s="459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Linea nóżka z regulacją</v>
      </c>
      <c r="C1976" s="185">
        <f t="shared" si="61"/>
        <v>9.9857999999999993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1101.7299</v>
      </c>
      <c r="L1976" s="459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Linea drążek meblowy okrągły 3 m alu srebrny</v>
      </c>
      <c r="C1977" s="185">
        <f t="shared" si="61"/>
        <v>32.4831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3635.7085999999999</v>
      </c>
      <c r="L1977" s="459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Linea drążek meblowy okrągły 4 m, srebrny</v>
      </c>
      <c r="C1978" s="185" t="e">
        <f t="shared" si="61"/>
        <v>#N/A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 t="e">
        <v>#N/A</v>
      </c>
      <c r="I1978" s="460" t="e">
        <v>#N/A</v>
      </c>
      <c r="J1978" s="460" t="e">
        <v>#N/A</v>
      </c>
      <c r="K1978" s="460" t="e">
        <v>#N/A</v>
      </c>
      <c r="L1978" s="459" t="e">
        <v>#N/A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Linea Profil wnętrza 3 m, srebrny</v>
      </c>
      <c r="C1979" s="185">
        <f t="shared" si="61"/>
        <v>117.40448000000001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13140.63315</v>
      </c>
      <c r="L1979" s="459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Linea wspornik drążka</v>
      </c>
      <c r="C1980" s="185">
        <f t="shared" si="61"/>
        <v>5.1901400000000004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580.91206</v>
      </c>
      <c r="L1980" s="459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Linea wspornik półki</v>
      </c>
      <c r="C1981" s="185">
        <f t="shared" si="61"/>
        <v>9.5749200000000005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1071.68281</v>
      </c>
      <c r="L1981" s="459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Linea wspornik półki na buty</v>
      </c>
      <c r="C1982" s="185">
        <f t="shared" si="61"/>
        <v>11.81203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1322.0759599999999</v>
      </c>
      <c r="L1982" s="459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Linea záslepka okrągłego drążka meblowego</v>
      </c>
      <c r="C1983" s="185">
        <f t="shared" si="61"/>
        <v>1.1832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133.26801</v>
      </c>
      <c r="L1983" s="459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Linea Zaślepka do profilu wewnętrznego</v>
      </c>
      <c r="C1984" s="185">
        <f t="shared" si="61"/>
        <v>4.6104000000000003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533.07240000000002</v>
      </c>
      <c r="L1984" s="459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Linea sada 8 szt kątowników mocujących</v>
      </c>
      <c r="C1985" s="185">
        <f t="shared" si="61"/>
        <v>69.261480000000006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7752.1724100000001</v>
      </c>
      <c r="L1985" s="459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/>
      </c>
      <c r="C1992" s="185" t="e">
        <f t="shared" si="63"/>
        <v>#N/A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 t="e">
        <v>#N/A</v>
      </c>
      <c r="I1992" s="460" t="e">
        <v>#N/A</v>
      </c>
      <c r="J1992" s="460" t="e">
        <v>#N/A</v>
      </c>
      <c r="K1992" s="460" t="e">
        <v>#N/A</v>
      </c>
      <c r="L1992" s="459" t="e">
        <v>#N/A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/>
      </c>
      <c r="C1993" s="185" t="e">
        <f t="shared" si="63"/>
        <v>#N/A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 t="e">
        <v>#N/A</v>
      </c>
      <c r="I1993" s="460" t="e">
        <v>#N/A</v>
      </c>
      <c r="J1993" s="460" t="e">
        <v>#N/A</v>
      </c>
      <c r="K1993" s="460" t="e">
        <v>#N/A</v>
      </c>
      <c r="L1993" s="459" t="e">
        <v>#N/A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>WC Górny zacisk montażowy T 18 mm (bez śruby)</v>
      </c>
      <c r="C1996" s="185">
        <f t="shared" si="63"/>
        <v>87.029309999999995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87.029309999999995</v>
      </c>
      <c r="K1996" s="460" t="e">
        <v>#N/A</v>
      </c>
      <c r="L1996" s="459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Zawias lewy (śrubki) H70 18 mm</v>
      </c>
      <c r="C1998" s="185" t="e">
        <f t="shared" si="63"/>
        <v>#N/A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 t="e">
        <v>#N/A</v>
      </c>
      <c r="I1998" s="460" t="e">
        <v>#N/A</v>
      </c>
      <c r="J1998" s="460" t="e">
        <v>#N/A</v>
      </c>
      <c r="K1998" s="460" t="e">
        <v>#N/A</v>
      </c>
      <c r="L1998" s="459" t="e">
        <v>#N/A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Harmony zestaw okuć dla 2 drzwi</v>
      </c>
      <c r="C1999" s="185" t="e">
        <f t="shared" si="63"/>
        <v>#N/A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 t="e">
        <v>#N/A</v>
      </c>
      <c r="I1999" s="460" t="e">
        <v>#N/A</v>
      </c>
      <c r="J1999" s="460" t="e">
        <v>#N/A</v>
      </c>
      <c r="K1999" s="460" t="e">
        <v>#N/A</v>
      </c>
      <c r="L1999" s="459" t="e">
        <v>#N/A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Hide N tor dolny 3 m jasny braz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Exclusive tor górny 1,2m jasny brąz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Hide M tor dolny 3 m jasny brąz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Exclusive tor górny 1,8m jasny brąz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04534-A Universal 18 rączka 2,7 m, jasny brąz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First tor górny / dolny 1,2m jasny brąz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Gemini-2 rączka 2,7m jasny brąz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System 10 II rączka 2,7 m, jasny brąz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Fox II rączka 2,7 m, jasny brąz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Hide N tor dolny 6 m jasny brąz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Gemini tor górny 1,7m jasny brąz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Gemini tor górny 2,35m jasny brąz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Gemini tor górny 3m jasny brąz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Gemini tor górny 4,05m jasny brąz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kątownik Mini 17x11mm 1,7m jasny brąz new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00094-A kątownik Mini 17x11mm 2,35m jasny brąz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00703-A listwa łącząca "T" 3m jasny brąz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00155-A maskownica  dolna 3m 10mm jasny brąz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00153-A maskownica dolna 2,35m 10mm jasny brąz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00152 maskownica dolna 1,7m 10mm jasny brąz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02908-A tor górny 1,7m jasny brąz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02909-A tor górny 2,35m jasny brąz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02910-A tor górny 3m jasny brąz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00204-A listwa łącząca H10 3m jasny brąz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Focus 16mm rączka 2,7m jasny brąz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00635-A Tytan rączka 18 mm 2,7 m, jasny brąz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Comfort tor górny 2,35m jasny brąz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Comfort tor górny 3m jasny brąz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Comfort tor górny 4,05m jasny brąz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00029-A profil "U" do płyty laminowanej 18mm 3m jasny brąz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listwa łącząca H30 3 m, jasny brąz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Master rączka 2,7m jasny brąz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Master rączka 3m jasny brąz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kątownik K2 Decor 2,35m jasny brąz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00071-A kątownik K2 Decor 3m jasny brąz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00212-A listwa łącząca H18 3m jasny brąz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listwa łącząca T Decor 3 m, jasny brąz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profil "U" Decor 18mm 3m jasny brąz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Single tor górny 1,7m jasny brąz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Single tor górny 3m jasny brąz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Smart tor dolny 1,7m jasny brąz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Smart tor dolny 2,35m jasny brąz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Smart tor dolny 3m jasny brąz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04274-A Elegant II tor dolny 2,35m jasny brąz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04275-A Elegant II tor dolny 3m jasny brąz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04276-A Elegant II tor dolny 4,05m jasny brąz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profil "U" do płyty laminowanej 16mm 3m jasny brąz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01711-A listwa łącząca H04 3m jasny brąz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Gemini tor górny 6m jasny brąz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02292-A Szpros S20 3m jasny brąz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Szpros S10 3m jasny brąz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Julia II rączka 2,7m jasny brąz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02690-A Romeo II rączka 2,7m jasny brąz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Factor 18 II rączka 2,7m jasny brąz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Factor 16 II rączka 2,7m jasny brąz new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Victoria II rączka 18mm 2,7m jasny brąz new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Minicomfort II rączka 2,7m jasny brąz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Comfort 18 II rączka 2,7m jasny brąz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Unicomfort II rączka 2,7m jasny brąz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Faworyt II rączka 2,7m jasny brąz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Comfort 16 II rączka 2,7m jasny brąz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02776-A Ergo rączka 2,7m jasny brąz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First tor górny / dolny 1,8m jasny brąz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Doubler II tor dolny 1,7m jasny brąz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Doubler II tor dolny 2,35m jasny brąz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Doubler II tor dolny 3m jasny brąz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Doubler II tor dolny 4,05m jasny brąz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Doubler II tor dolny 6m jasny brąz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Doubler II maskownica 1,7m jasny brąz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Doubler II maskownica 2,35m jasny brąz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Doubler II maskownica 3m jasny brąz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Doubler II maskownica 4,05m jasny brąz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Doubler II maskownica 6m jasny brąz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Future II rączka 3,5m jasny brąz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Future II rączka 2,7m jasny brąz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First tor górny / dolny 3m jasny brąz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Micra tor górny / dolny 1,7 m jasny brąz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Micra tor górny / dolny 2,35 m jasny brąz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Top tor górny pojedynczy 3 m jasny brąz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Top tor górny pojedynczy 6 m jasny brąz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Star rączka 2,7 m jasny brąz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Beta 18 rączka 2,70 m jasny brąz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Comfort tor dolny 1,7m jasny brąz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Comfort tor dolny 3m jasny brąz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Alfa II rączka 18mm 2,70m jasny brąz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Karat rączka 2,7 m jasny brąz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listwa łącząca H10 Decor 3m jasny brąz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Comfort tor górny 6m jasny brąz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Łącznik H16 3m jasny brąz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Łącznik H08/16 3m jasny brąz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Maxim tor górny 4,3m jasny brąz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Maxim tor 4,3 m jasny brąz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Oaza II rączka 2,7m jasny brąz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Maxim tor 2,5 m, jasny brąz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03578-M Fala rączka 10mm 2,70m jasny brąz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03579-M Polo rączka 10mm 2,70m jasny brąz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Simple tor górny 6 m jasny brąz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Simple tor dolny 6 m jasny brąz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listwa łącząca Simple/Blue H28 3m (do płyty lam. 18mm) jasny brąz new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maskownica dolna Simple/Blue 3m (do płyty lam. 10mm) jasny brąz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Simple tor górny 1,5 m jasny brąz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Simple tor górny 2 m jasny brąz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Simple tor górny 2,5 m jasny brąz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Simple tor górny 3 m jasny brąz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Simple tor górny 4 m jasny brąz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Simple tor dolny 1,5 m jasny brąz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Simple tor dolny 2 m jasny brąz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Simple tor dolny 2,5 m jasny brąz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Simple tor dolny 3 m jasny brąz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Simple tor dolny 4 m jasny brąz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04456-M tor dolny Simple/Blue 1,5m (do płyty lam. 18mm) jasny brąz new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04457-M tor górny Simple/Blue 2m (do płyty lam. 18mm) jasny brąz new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tor dolny Simple/Blue 2,5 m (do płyty lam. 18 mm) jasny brąz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maskownica dolna Simple/Blue 1,5m (do płyty lam. 18mm) jasny brąz new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tor górny Simple/Blue 1,5 m (do płyty lam. 10 mm) jasny brąz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tor górny Simple/Blue 2 m (do płyty lam. 10 mm) jasny brąz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tor dolny Simple/Blue 2,5 m (do płyty lam. 10 mm) jasny brąz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maskownica dolna Simple/Blue 1,5 m (do płyty lam. 10 mm) jasny brąz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maskownica dolna Simple/Blue 2 m (do płyty lam. 10 mm) jasny brąz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maskownica dolna Simple/Blue 2,5 m (do płyty lam. 10 mm) jasny brąz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listwa łącząca Simple/Blue H21 3m (do płyty lam. 18mm) jasny brąz new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SEV-Łącznik Simple/Blue H25 3 m (16 mm) jasny brąz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Uno rączka 18mm 2,70m jasny brąz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Maxim II zaślepka do toru 2,5m jasny brąz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profil "U" do płyty lam. 36mm 3m jasny brąz new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profil "U" Mini do płyty lam. 18mm 3m jasny brąz new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kątownik 18x36mm 3m jasny brąz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kątownik 36x36mm 3m jasny brąz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Porto rączka 2,7m jasny brąz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Szpros S18 z klejem 3m jasny brąz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Gemini II tor dolny 1,7m jasny brąz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Gemini II tor dolny 2,35m jasny brąz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Gemini II tor dolny 3m jasny brąz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Gemini II tor dolny 4,05m jasny brąz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Gemini II tor dolny 6m jasny brąz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 04297-A zaślepka do toru Elegant II 2,35m jasny brąz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04273-A Elegant II tor dolny 1,7m jasny brąz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 04747-A Rekord rączka 18mm 2,70m brąz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04298-A zaślepka do toru Elegant II 3m jasny brąz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dolny profil 2,5m elox srebrny</v>
      </c>
      <c r="C2139" s="185" t="e">
        <f t="shared" si="67"/>
        <v>#N/A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 t="e">
        <v>#N/A</v>
      </c>
      <c r="I2139" s="460" t="e">
        <v>#N/A</v>
      </c>
      <c r="J2139" s="460" t="e">
        <v>#N/A</v>
      </c>
      <c r="K2139" s="460" t="e">
        <v>#N/A</v>
      </c>
      <c r="L2139" s="459" t="e">
        <v>#N/A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/>
      </c>
      <c r="C2167" s="185" t="e">
        <f t="shared" si="67"/>
        <v>#N/A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 t="e">
        <v>#N/A</v>
      </c>
      <c r="I2167" s="460" t="e">
        <v>#N/A</v>
      </c>
      <c r="J2167" s="460" t="e">
        <v>#N/A</v>
      </c>
      <c r="K2167" s="460" t="e">
        <v>#N/A</v>
      </c>
      <c r="L2167" s="459" t="e">
        <v>#N/A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/>
      </c>
      <c r="C2168" s="185" t="e">
        <f t="shared" si="67"/>
        <v>#N/A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 t="e">
        <v>#N/A</v>
      </c>
      <c r="I2168" s="460" t="e">
        <v>#N/A</v>
      </c>
      <c r="J2168" s="460" t="e">
        <v>#N/A</v>
      </c>
      <c r="K2168" s="460" t="e">
        <v>#N/A</v>
      </c>
      <c r="L2168" s="459" t="e">
        <v>#N/A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/>
      </c>
      <c r="C2169" s="185" t="e">
        <f t="shared" si="67"/>
        <v>#N/A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 t="e">
        <v>#N/A</v>
      </c>
      <c r="I2169" s="460" t="e">
        <v>#N/A</v>
      </c>
      <c r="J2169" s="460" t="e">
        <v>#N/A</v>
      </c>
      <c r="K2169" s="460" t="e">
        <v>#N/A</v>
      </c>
      <c r="L2169" s="459" t="e">
        <v>#N/A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/>
      </c>
      <c r="C2170" s="185" t="e">
        <f t="shared" si="67"/>
        <v>#N/A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 t="e">
        <v>#N/A</v>
      </c>
      <c r="I2170" s="460" t="e">
        <v>#N/A</v>
      </c>
      <c r="J2170" s="460" t="e">
        <v>#N/A</v>
      </c>
      <c r="K2170" s="460" t="e">
        <v>#N/A</v>
      </c>
      <c r="L2170" s="459" t="e">
        <v>#N/A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/>
      </c>
      <c r="C2171" s="185" t="e">
        <f t="shared" si="67"/>
        <v>#N/A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 t="e">
        <v>#N/A</v>
      </c>
      <c r="I2171" s="460" t="e">
        <v>#N/A</v>
      </c>
      <c r="J2171" s="460" t="e">
        <v>#N/A</v>
      </c>
      <c r="K2171" s="460" t="e">
        <v>#N/A</v>
      </c>
      <c r="L2171" s="459" t="e">
        <v>#N/A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/>
      </c>
      <c r="C2172" s="185" t="e">
        <f t="shared" si="67"/>
        <v>#N/A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 t="e">
        <v>#N/A</v>
      </c>
      <c r="I2172" s="460" t="e">
        <v>#N/A</v>
      </c>
      <c r="J2172" s="460" t="e">
        <v>#N/A</v>
      </c>
      <c r="K2172" s="460" t="e">
        <v>#N/A</v>
      </c>
      <c r="L2172" s="459" t="e">
        <v>#N/A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/>
      </c>
      <c r="C2173" s="185" t="e">
        <f t="shared" si="67"/>
        <v>#N/A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 t="e">
        <v>#N/A</v>
      </c>
      <c r="I2173" s="460" t="e">
        <v>#N/A</v>
      </c>
      <c r="J2173" s="460" t="e">
        <v>#N/A</v>
      </c>
      <c r="K2173" s="460" t="e">
        <v>#N/A</v>
      </c>
      <c r="L2173" s="459" t="e">
        <v>#N/A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U profil stalowy 6 m srebrny</v>
      </c>
      <c r="C2174" s="185" t="e">
        <f t="shared" si="67"/>
        <v>#N/A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 t="e">
        <v>#N/A</v>
      </c>
      <c r="I2174" s="460" t="e">
        <v>#N/A</v>
      </c>
      <c r="J2174" s="460" t="e">
        <v>#N/A</v>
      </c>
      <c r="K2174" s="460" t="e">
        <v>#N/A</v>
      </c>
      <c r="L2174" s="459" t="e">
        <v>#N/A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Okucie do drzwi przesuwnych do wnętrz 01499/2AM/27/1900/10 80kg</v>
      </c>
      <c r="C2175" s="185" t="e">
        <f t="shared" si="67"/>
        <v>#N/A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 t="e">
        <v>#N/A</v>
      </c>
      <c r="I2175" s="460" t="e">
        <v>#N/A</v>
      </c>
      <c r="J2175" s="460" t="e">
        <v>#N/A</v>
      </c>
      <c r="K2175" s="460" t="e">
        <v>#N/A</v>
      </c>
      <c r="L2175" s="459" t="e">
        <v>#N/A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Szczotka wsuwana 6,7x7mm szara</v>
      </c>
      <c r="C2179" s="185" t="e">
        <f t="shared" si="67"/>
        <v>#N/A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 t="e">
        <v>#N/A</v>
      </c>
      <c r="I2179" s="460" t="e">
        <v>#N/A</v>
      </c>
      <c r="J2179" s="460" t="e">
        <v>#N/A</v>
      </c>
      <c r="K2179" s="460" t="e">
        <v>#N/A</v>
      </c>
      <c r="L2179" s="459" t="e">
        <v>#N/A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S-komplet okuć S65</v>
      </c>
      <c r="C2180" s="185">
        <f t="shared" ref="C2180:C2243" si="69">IF($A$2=1,H2180,IF($A$2=2,I2180,IF($A$2=3,J2180,IF($A$2=4,K2180,IF($A$2&gt;4,O2180,"zadat jazyk")))))</f>
        <v>56.740940000000002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301.35000000000002</v>
      </c>
      <c r="I2180" s="460">
        <v>12.86153</v>
      </c>
      <c r="J2180" s="460">
        <v>56.740940000000002</v>
      </c>
      <c r="K2180" s="460" t="e">
        <v>#N/A</v>
      </c>
      <c r="L2180" s="459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górny profil prowadzący 3,5m srebrny</v>
      </c>
      <c r="C2181" s="185" t="e">
        <f t="shared" si="69"/>
        <v>#N/A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 t="e">
        <v>#N/A</v>
      </c>
      <c r="I2181" s="460" t="e">
        <v>#N/A</v>
      </c>
      <c r="J2181" s="460" t="e">
        <v>#N/A</v>
      </c>
      <c r="K2181" s="460" t="e">
        <v>#N/A</v>
      </c>
      <c r="L2181" s="459" t="e">
        <v>#N/A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górny profil prowadzący 4m srebrny</v>
      </c>
      <c r="C2182" s="185" t="e">
        <f t="shared" si="69"/>
        <v>#N/A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 t="e">
        <v>#N/A</v>
      </c>
      <c r="I2182" s="460" t="e">
        <v>#N/A</v>
      </c>
      <c r="J2182" s="460" t="e">
        <v>#N/A</v>
      </c>
      <c r="K2182" s="460" t="e">
        <v>#N/A</v>
      </c>
      <c r="L2182" s="459" t="e">
        <v>#N/A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dolny profil prowadzący alu 3m</v>
      </c>
      <c r="C2183" s="185" t="e">
        <f t="shared" si="69"/>
        <v>#N/A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 t="e">
        <v>#N/A</v>
      </c>
      <c r="I2183" s="460" t="e">
        <v>#N/A</v>
      </c>
      <c r="J2183" s="460" t="e">
        <v>#N/A</v>
      </c>
      <c r="K2183" s="460" t="e">
        <v>#N/A</v>
      </c>
      <c r="L2183" s="459" t="e">
        <v>#N/A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Okucie do drzwi przesuwnych do wnętrz 1390 40kg</v>
      </c>
      <c r="C2184" s="185">
        <f t="shared" si="69"/>
        <v>93.735380000000006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507.69238000000001</v>
      </c>
      <c r="I2184" s="460">
        <v>21.132370000000002</v>
      </c>
      <c r="J2184" s="460">
        <v>93.735380000000006</v>
      </c>
      <c r="K2184" s="460" t="e">
        <v>#N/A</v>
      </c>
      <c r="L2184" s="459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Okucie do drzwi przesuwnych do wnętrz 1391/120 40kg</v>
      </c>
      <c r="C2185" s="185">
        <f t="shared" si="69"/>
        <v>171.95952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38.25994</v>
      </c>
      <c r="J2185" s="460">
        <v>171.95952</v>
      </c>
      <c r="K2185" s="460" t="e">
        <v>#N/A</v>
      </c>
      <c r="L2185" s="459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Okucie do drzwi przesuwnych do wnętrz 1391/155 40 kg</v>
      </c>
      <c r="C2186" s="185">
        <f t="shared" si="69"/>
        <v>196.88471000000001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43.740960000000001</v>
      </c>
      <c r="J2186" s="460">
        <v>196.88471000000001</v>
      </c>
      <c r="K2186" s="460" t="e">
        <v>#N/A</v>
      </c>
      <c r="L2186" s="459" t="s">
        <v>538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Okucie do drzwi przesuwnych do wnętrz 1391/190 40 kg</v>
      </c>
      <c r="C2187" s="185">
        <f t="shared" si="69"/>
        <v>221.14759000000001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 t="e">
        <v>#N/A</v>
      </c>
      <c r="L2187" s="459" t="s">
        <v>538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Okucie do drzwi przesuwnych do wnętrz 1391/230 40 kg</v>
      </c>
      <c r="C2188" s="185">
        <f t="shared" si="69"/>
        <v>249.51683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 t="e">
        <v>#N/A</v>
      </c>
      <c r="L2188" s="459" t="s">
        <v>538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Okucie do drzwi przesuwnych do wnętrz 1391/280 40kg</v>
      </c>
      <c r="C2189" s="185">
        <f t="shared" si="69"/>
        <v>283.04109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 t="e">
        <v>#N/A</v>
      </c>
      <c r="L2189" s="459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Okucie do drzwi przesuwnych do wnętrz 1391/330 40kg</v>
      </c>
      <c r="C2190" s="185">
        <f t="shared" si="69"/>
        <v>317.59195999999997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 t="e">
        <v>#N/A</v>
      </c>
      <c r="L2190" s="459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U profil stalowy 2m srebrny</v>
      </c>
      <c r="C2191" s="185" t="e">
        <f t="shared" si="69"/>
        <v>#N/A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 t="e">
        <v>#N/A</v>
      </c>
      <c r="I2191" s="460" t="e">
        <v>#N/A</v>
      </c>
      <c r="J2191" s="460" t="e">
        <v>#N/A</v>
      </c>
      <c r="K2191" s="460" t="e">
        <v>#N/A</v>
      </c>
      <c r="L2191" s="459" t="e">
        <v>#N/A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zestaw Herkules plus 40kg do 2 skrzydeł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prowadnik z tuleją do drzwi składanych Herkules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środkowy zawias sprężynowy srebrny</v>
      </c>
      <c r="C2194" s="185">
        <f t="shared" si="69"/>
        <v>11.45285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1266.69498</v>
      </c>
      <c r="L2194" s="459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Herkules plus tor górny 1,5 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blaszka</v>
      </c>
      <c r="C2196" s="185" t="e">
        <f t="shared" si="69"/>
        <v>#N/A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 t="e">
        <v>#N/A</v>
      </c>
      <c r="I2196" s="460" t="e">
        <v>#N/A</v>
      </c>
      <c r="J2196" s="460" t="e">
        <v>#N/A</v>
      </c>
      <c r="K2196" s="460" t="e">
        <v>#N/A</v>
      </c>
      <c r="L2196" s="459" t="e">
        <v>#N/A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S-komplet okuć S80SC razem z tłumieniem</v>
      </c>
      <c r="C2201" s="185" t="e">
        <f t="shared" si="69"/>
        <v>#N/A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 t="e">
        <v>#N/A</v>
      </c>
      <c r="I2201" s="460" t="e">
        <v>#N/A</v>
      </c>
      <c r="J2201" s="460" t="e">
        <v>#N/A</v>
      </c>
      <c r="K2201" s="460" t="e">
        <v>#N/A</v>
      </c>
      <c r="L2201" s="459" t="e">
        <v>#N/A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Zaślepka toru Single z pozycjonerem</v>
      </c>
      <c r="C2207" s="185">
        <f t="shared" si="69"/>
        <v>92.155529999999999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10192.47445</v>
      </c>
      <c r="L2207" s="459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 S11 srebrny elox 2,7m</v>
      </c>
      <c r="C2208" s="185" t="e">
        <f t="shared" si="69"/>
        <v>#N/A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 t="e">
        <v>#N/A</v>
      </c>
      <c r="I2208" s="460" t="e">
        <v>#N/A</v>
      </c>
      <c r="J2208" s="460" t="e">
        <v>#N/A</v>
      </c>
      <c r="K2208" s="460" t="e">
        <v>#N/A</v>
      </c>
      <c r="L2208" s="459" t="e">
        <v>#N/A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Samodomykacz do WC ze wskaźnikiem zajęte/wolne 12-18 mm</v>
      </c>
      <c r="C2212" s="185">
        <f t="shared" si="69"/>
        <v>113.79385000000001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113.79385000000001</v>
      </c>
      <c r="K2212" s="460" t="e">
        <v>#N/A</v>
      </c>
      <c r="L2212" s="459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Zamek ze wskaźnikiem zajęte/wolne, do zawiasu z uskokiem, do płyty 12 mm</v>
      </c>
      <c r="C2213" s="185" t="e">
        <f t="shared" si="69"/>
        <v>#N/A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 t="e">
        <v>#N/A</v>
      </c>
      <c r="I2213" s="460" t="e">
        <v>#N/A</v>
      </c>
      <c r="J2213" s="460" t="e">
        <v>#N/A</v>
      </c>
      <c r="K2213" s="460" t="e">
        <v>#N/A</v>
      </c>
      <c r="L2213" s="459" t="e">
        <v>#N/A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Odbojnik do drzwi</v>
      </c>
      <c r="C2215" s="185">
        <f t="shared" si="69"/>
        <v>16.169530000000002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16.169530000000002</v>
      </c>
      <c r="K2215" s="460" t="e">
        <v>#N/A</v>
      </c>
      <c r="L2215" s="459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Uchwyt drzwiowy H38</v>
      </c>
      <c r="C2216" s="185">
        <f t="shared" si="69"/>
        <v>90.139719999999997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90.139719999999997</v>
      </c>
      <c r="K2216" s="460" t="e">
        <v>#N/A</v>
      </c>
      <c r="L2216" s="459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kątownik (mocowanie do ściany)</v>
      </c>
      <c r="C2217" s="185">
        <f t="shared" si="69"/>
        <v>12.2729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12.2729</v>
      </c>
      <c r="K2217" s="460" t="e">
        <v>#N/A</v>
      </c>
      <c r="L2217" s="459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Zawias lewy (śrubki) H70 12 mm</v>
      </c>
      <c r="C2218" s="185">
        <f t="shared" si="69"/>
        <v>92.467590000000001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92.467590000000001</v>
      </c>
      <c r="K2218" s="460" t="e">
        <v>#N/A</v>
      </c>
      <c r="L2218" s="459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Zawias prawy (śrubki) H70 12 mm</v>
      </c>
      <c r="C2219" s="185">
        <f t="shared" si="69"/>
        <v>91.901859999999999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91.901859999999999</v>
      </c>
      <c r="K2219" s="460" t="e">
        <v>#N/A</v>
      </c>
      <c r="L2219" s="459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Zawias lewy (wkręty) SH70 12 mm</v>
      </c>
      <c r="C2220" s="185">
        <f t="shared" si="69"/>
        <v>92.048559999999995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92.048559999999995</v>
      </c>
      <c r="K2220" s="460" t="e">
        <v>#N/A</v>
      </c>
      <c r="L2220" s="459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Zawias prawy (wkręty) SH70 12 mm</v>
      </c>
      <c r="C2221" s="185">
        <f t="shared" si="69"/>
        <v>92.030209999999997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92.030209999999997</v>
      </c>
      <c r="K2221" s="460" t="e">
        <v>#N/A</v>
      </c>
      <c r="L2221" s="459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Zawias lewy z uskokiem (wkręty) VSH70</v>
      </c>
      <c r="C2222" s="185" t="e">
        <f t="shared" si="69"/>
        <v>#N/A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 t="e">
        <v>#N/A</v>
      </c>
      <c r="I2222" s="460" t="e">
        <v>#N/A</v>
      </c>
      <c r="J2222" s="460" t="e">
        <v>#N/A</v>
      </c>
      <c r="K2222" s="460" t="e">
        <v>#N/A</v>
      </c>
      <c r="L2222" s="459" t="e">
        <v>#N/A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Zawias prawy z uskokiem (wkręty) VSH70</v>
      </c>
      <c r="C2223" s="185">
        <f t="shared" si="69"/>
        <v>124.4139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1096.52612</v>
      </c>
      <c r="I2223" s="460">
        <v>25.055099999999999</v>
      </c>
      <c r="J2223" s="460">
        <v>124.4139</v>
      </c>
      <c r="K2223" s="460" t="e">
        <v>#N/A</v>
      </c>
      <c r="L2223" s="459" t="s">
        <v>540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C Rura łącząca 32 mm - 3 m</v>
      </c>
      <c r="C2225" s="185">
        <f t="shared" si="69"/>
        <v>277.04973999999999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277.04973999999999</v>
      </c>
      <c r="K2225" s="460" t="e">
        <v>#N/A</v>
      </c>
      <c r="L2225" s="459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Mocowanie rur do ściany</v>
      </c>
      <c r="C2226" s="185">
        <f t="shared" si="69"/>
        <v>21.86786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21.86786</v>
      </c>
      <c r="K2226" s="460" t="e">
        <v>#N/A</v>
      </c>
      <c r="L2226" s="459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Narożne łącze do rur 90 stopni</v>
      </c>
      <c r="C2227" s="185">
        <f t="shared" si="69"/>
        <v>87.324799999999996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87.324799999999996</v>
      </c>
      <c r="K2227" s="460" t="e">
        <v>#N/A</v>
      </c>
      <c r="L2227" s="459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Łącze do rur T</v>
      </c>
      <c r="C2228" s="185">
        <f t="shared" si="69"/>
        <v>87.324799999999996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87.324799999999996</v>
      </c>
      <c r="K2228" s="460" t="e">
        <v>#N/A</v>
      </c>
      <c r="L2228" s="459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Górny zacisk 90° 12mm</v>
      </c>
      <c r="C2234" s="185">
        <f t="shared" si="69"/>
        <v>92.020989999999998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92.020989999999998</v>
      </c>
      <c r="K2234" s="460" t="e">
        <v>#N/A</v>
      </c>
      <c r="L2234" s="459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profil uchwytowy + profl maskujący alu 2,7m</v>
      </c>
      <c r="C2235" s="185" t="e">
        <f t="shared" si="69"/>
        <v>#N/A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 t="e">
        <v>#N/A</v>
      </c>
      <c r="I2235" s="460" t="e">
        <v>#N/A</v>
      </c>
      <c r="J2235" s="460" t="e">
        <v>#N/A</v>
      </c>
      <c r="K2235" s="460" t="e">
        <v>#N/A</v>
      </c>
      <c r="L2235" s="459" t="e">
        <v>#N/A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S-komplet okuć S55A</v>
      </c>
      <c r="C2236" s="185">
        <f t="shared" si="69"/>
        <v>56.740940000000002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301.35000000000002</v>
      </c>
      <c r="I2236" s="460">
        <v>12.86153</v>
      </c>
      <c r="J2236" s="460">
        <v>56.740940000000002</v>
      </c>
      <c r="K2236" s="460" t="e">
        <v>#N/A</v>
      </c>
      <c r="L2236" s="459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IC-łącznik do skośnych aluminiowych drzwi Comfort</v>
      </c>
      <c r="C2237" s="185" t="e">
        <f t="shared" si="69"/>
        <v>#N/A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 t="e">
        <v>#N/A</v>
      </c>
      <c r="I2237" s="460" t="e">
        <v>#N/A</v>
      </c>
      <c r="J2237" s="460" t="e">
        <v>#N/A</v>
      </c>
      <c r="K2237" s="460" t="e">
        <v>#N/A</v>
      </c>
      <c r="L2237" s="459" t="e">
        <v>#N/A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S-szczotka odbojowa niska 13x5 mm, szara</v>
      </c>
      <c r="C2238" s="185">
        <f t="shared" si="69"/>
        <v>2.21428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11.76</v>
      </c>
      <c r="I2238" s="460">
        <v>0.50190999999999997</v>
      </c>
      <c r="J2238" s="460">
        <v>2.21428</v>
      </c>
      <c r="K2238" s="460" t="e">
        <v>#N/A</v>
      </c>
      <c r="L2238" s="459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IC-rączka Portland 10mm 2,7m srebrna</v>
      </c>
      <c r="C2239" s="185" t="e">
        <f t="shared" si="69"/>
        <v>#N/A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 t="e">
        <v>#N/A</v>
      </c>
      <c r="I2239" s="460" t="e">
        <v>#N/A</v>
      </c>
      <c r="J2239" s="460" t="e">
        <v>#N/A</v>
      </c>
      <c r="K2239" s="460" t="e">
        <v>#N/A</v>
      </c>
      <c r="L2239" s="459" t="e">
        <v>#N/A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S-tłumienie obustronne Slidix Centro T25 S55/S60/S65</v>
      </c>
      <c r="C2241" s="185" t="e">
        <f t="shared" si="69"/>
        <v>#N/A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 t="e">
        <v>#N/A</v>
      </c>
      <c r="I2241" s="460" t="e">
        <v>#N/A</v>
      </c>
      <c r="J2241" s="460" t="e">
        <v>#N/A</v>
      </c>
      <c r="K2241" s="460" t="e">
        <v>#N/A</v>
      </c>
      <c r="L2241" s="459" t="e">
        <v>#N/A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IC-tor dolny 3 m arktyczne srebro</v>
      </c>
      <c r="C2247" s="185" t="e">
        <f t="shared" si="71"/>
        <v>#N/A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 t="e">
        <v>#N/A</v>
      </c>
      <c r="I2247" s="460" t="e">
        <v>#N/A</v>
      </c>
      <c r="J2247" s="460" t="e">
        <v>#N/A</v>
      </c>
      <c r="K2247" s="460" t="e">
        <v>#N/A</v>
      </c>
      <c r="L2247" s="459" t="e">
        <v>#N/A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IC-Profil  10mm 2,4m arktyczne srebro</v>
      </c>
      <c r="C2248" s="185" t="e">
        <f t="shared" si="71"/>
        <v>#N/A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 t="e">
        <v>#N/A</v>
      </c>
      <c r="I2248" s="460" t="e">
        <v>#N/A</v>
      </c>
      <c r="J2248" s="460" t="e">
        <v>#N/A</v>
      </c>
      <c r="K2248" s="460" t="e">
        <v>#N/A</v>
      </c>
      <c r="L2248" s="459" t="e">
        <v>#N/A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dolny profil 3m elox srebrny</v>
      </c>
      <c r="C2249" s="185" t="e">
        <f t="shared" si="71"/>
        <v>#N/A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 t="e">
        <v>#N/A</v>
      </c>
      <c r="I2249" s="460" t="e">
        <v>#N/A</v>
      </c>
      <c r="J2249" s="460" t="e">
        <v>#N/A</v>
      </c>
      <c r="K2249" s="460" t="e">
        <v>#N/A</v>
      </c>
      <c r="L2249" s="459" t="e">
        <v>#N/A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tłumienie</v>
      </c>
      <c r="C2251" s="185" t="e">
        <f t="shared" si="71"/>
        <v>#N/A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 t="e">
        <v>#N/A</v>
      </c>
      <c r="I2251" s="460" t="e">
        <v>#N/A</v>
      </c>
      <c r="J2251" s="460" t="e">
        <v>#N/A</v>
      </c>
      <c r="K2251" s="460" t="e">
        <v>#N/A</v>
      </c>
      <c r="L2251" s="459" t="e">
        <v>#N/A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zestaw Apollo 2/756</v>
      </c>
      <c r="C2253" s="185" t="e">
        <f t="shared" si="71"/>
        <v>#N/A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 t="e">
        <v>#N/A</v>
      </c>
      <c r="I2253" s="460" t="e">
        <v>#N/A</v>
      </c>
      <c r="J2253" s="460" t="e">
        <v>#N/A</v>
      </c>
      <c r="K2253" s="460" t="e">
        <v>#N/A</v>
      </c>
      <c r="L2253" s="459" t="e">
        <v>#N/A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zestaw okuć ZSE-10 Plus</v>
      </c>
      <c r="C2254" s="185">
        <f t="shared" si="71"/>
        <v>232.9272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25690.338250000001</v>
      </c>
      <c r="L2254" s="459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zestaw okuć ZSE-18</v>
      </c>
      <c r="C2255" s="185" t="e">
        <f t="shared" si="71"/>
        <v>#N/A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 t="e">
        <v>#N/A</v>
      </c>
      <c r="I2255" s="460" t="e">
        <v>#N/A</v>
      </c>
      <c r="J2255" s="460" t="e">
        <v>#N/A</v>
      </c>
      <c r="K2255" s="460" t="e">
        <v>#N/A</v>
      </c>
      <c r="L2255" s="459" t="e">
        <v>#N/A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zestaw okuć ZSE-18 Plus</v>
      </c>
      <c r="C2256" s="185" t="e">
        <f t="shared" si="71"/>
        <v>#N/A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 t="e">
        <v>#N/A</v>
      </c>
      <c r="I2256" s="460" t="e">
        <v>#N/A</v>
      </c>
      <c r="J2256" s="460" t="e">
        <v>#N/A</v>
      </c>
      <c r="K2256" s="460" t="e">
        <v>#N/A</v>
      </c>
      <c r="L2256" s="459" t="e">
        <v>#N/A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zestaw okuć ZSE-18 U Plus</v>
      </c>
      <c r="C2257" s="185" t="e">
        <f t="shared" si="71"/>
        <v>#N/A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 t="e">
        <v>#N/A</v>
      </c>
      <c r="I2257" s="460" t="e">
        <v>#N/A</v>
      </c>
      <c r="J2257" s="460" t="e">
        <v>#N/A</v>
      </c>
      <c r="K2257" s="460" t="e">
        <v>#N/A</v>
      </c>
      <c r="L2257" s="459" t="e">
        <v>#N/A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IC-tor górny prosty 2m srebrny</v>
      </c>
      <c r="C2258" s="185" t="e">
        <f t="shared" si="71"/>
        <v>#N/A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 t="e">
        <v>#N/A</v>
      </c>
      <c r="I2258" s="460" t="e">
        <v>#N/A</v>
      </c>
      <c r="J2258" s="460" t="e">
        <v>#N/A</v>
      </c>
      <c r="K2258" s="460" t="e">
        <v>#N/A</v>
      </c>
      <c r="L2258" s="459" t="e">
        <v>#N/A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IC-tor górny prosty 3m srebrny</v>
      </c>
      <c r="C2259" s="185" t="e">
        <f t="shared" si="71"/>
        <v>#N/A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 t="e">
        <v>#N/A</v>
      </c>
      <c r="I2259" s="460" t="e">
        <v>#N/A</v>
      </c>
      <c r="J2259" s="460" t="e">
        <v>#N/A</v>
      </c>
      <c r="K2259" s="460" t="e">
        <v>#N/A</v>
      </c>
      <c r="L2259" s="459" t="e">
        <v>#N/A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IC-tor dolny prosty 2m srebrny</v>
      </c>
      <c r="C2260" s="185" t="e">
        <f t="shared" si="71"/>
        <v>#N/A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 t="e">
        <v>#N/A</v>
      </c>
      <c r="I2260" s="460" t="e">
        <v>#N/A</v>
      </c>
      <c r="J2260" s="460" t="e">
        <v>#N/A</v>
      </c>
      <c r="K2260" s="460" t="e">
        <v>#N/A</v>
      </c>
      <c r="L2260" s="459" t="e">
        <v>#N/A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IC-tor dolny prosty 3m srebrny</v>
      </c>
      <c r="C2261" s="185" t="e">
        <f t="shared" si="71"/>
        <v>#N/A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 t="e">
        <v>#N/A</v>
      </c>
      <c r="I2261" s="460" t="e">
        <v>#N/A</v>
      </c>
      <c r="J2261" s="460" t="e">
        <v>#N/A</v>
      </c>
      <c r="K2261" s="460" t="e">
        <v>#N/A</v>
      </c>
      <c r="L2261" s="459" t="e">
        <v>#N/A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IC-tor dolny prosty 5m srebrny</v>
      </c>
      <c r="C2262" s="185" t="e">
        <f t="shared" si="71"/>
        <v>#N/A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 t="e">
        <v>#N/A</v>
      </c>
      <c r="I2262" s="460" t="e">
        <v>#N/A</v>
      </c>
      <c r="J2262" s="460" t="e">
        <v>#N/A</v>
      </c>
      <c r="K2262" s="460" t="e">
        <v>#N/A</v>
      </c>
      <c r="L2262" s="459" t="e">
        <v>#N/A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dolny profil prowadzący 3m srebrny</v>
      </c>
      <c r="C2264" s="185" t="e">
        <f t="shared" si="71"/>
        <v>#N/A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 t="e">
        <v>#N/A</v>
      </c>
      <c r="I2264" s="460" t="e">
        <v>#N/A</v>
      </c>
      <c r="J2264" s="460" t="e">
        <v>#N/A</v>
      </c>
      <c r="K2264" s="460" t="e">
        <v>#N/A</v>
      </c>
      <c r="L2264" s="459" t="e">
        <v>#N/A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profl maskujący (maskownica) 3m srebrny</v>
      </c>
      <c r="C2265" s="185" t="e">
        <f t="shared" si="71"/>
        <v>#N/A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 t="e">
        <v>#N/A</v>
      </c>
      <c r="I2265" s="460" t="e">
        <v>#N/A</v>
      </c>
      <c r="J2265" s="460" t="e">
        <v>#N/A</v>
      </c>
      <c r="K2265" s="460" t="e">
        <v>#N/A</v>
      </c>
      <c r="L2265" s="459" t="e">
        <v>#N/A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rączka 100mm jasny brąz new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DI-pojedynczy profil górny 5m</v>
      </c>
      <c r="C2270" s="185" t="e">
        <f t="shared" si="71"/>
        <v>#N/A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 t="e">
        <v>#N/A</v>
      </c>
      <c r="I2270" s="460" t="e">
        <v>#N/A</v>
      </c>
      <c r="J2270" s="460" t="e">
        <v>#N/A</v>
      </c>
      <c r="K2270" s="460" t="e">
        <v>#N/A</v>
      </c>
      <c r="L2270" s="459" t="e">
        <v>#N/A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srebrny 2,7 M</v>
      </c>
      <c r="C2271" s="185" t="e">
        <f t="shared" si="71"/>
        <v>#N/A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 t="e">
        <v>#N/A</v>
      </c>
      <c r="I2271" s="460" t="e">
        <v>#N/A</v>
      </c>
      <c r="J2271" s="460" t="e">
        <v>#N/A</v>
      </c>
      <c r="K2271" s="460" t="e">
        <v>#N/A</v>
      </c>
      <c r="L2271" s="459" t="e">
        <v>#N/A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profil prowadzący alu elox 2,5m</v>
      </c>
      <c r="C2272" s="185" t="e">
        <f t="shared" si="71"/>
        <v>#N/A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 t="e">
        <v>#N/A</v>
      </c>
      <c r="I2272" s="460" t="e">
        <v>#N/A</v>
      </c>
      <c r="J2272" s="460" t="e">
        <v>#N/A</v>
      </c>
      <c r="K2272" s="460" t="e">
        <v>#N/A</v>
      </c>
      <c r="L2272" s="459" t="e">
        <v>#N/A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profil prowadzący alu elox 3m</v>
      </c>
      <c r="C2273" s="185" t="e">
        <f t="shared" si="71"/>
        <v>#N/A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 t="e">
        <v>#N/A</v>
      </c>
      <c r="I2273" s="460" t="e">
        <v>#N/A</v>
      </c>
      <c r="J2273" s="460" t="e">
        <v>#N/A</v>
      </c>
      <c r="K2273" s="460" t="e">
        <v>#N/A</v>
      </c>
      <c r="L2273" s="459" t="e">
        <v>#N/A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PROFIL S30 podwójny ELOX. 4,5 M</v>
      </c>
      <c r="C2274" s="185" t="e">
        <f t="shared" si="71"/>
        <v>#N/A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 t="e">
        <v>#N/A</v>
      </c>
      <c r="I2274" s="460" t="e">
        <v>#N/A</v>
      </c>
      <c r="J2274" s="460" t="e">
        <v>#N/A</v>
      </c>
      <c r="K2274" s="460" t="e">
        <v>#N/A</v>
      </c>
      <c r="L2274" s="459" t="e">
        <v>#N/A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S-szcotka przeciwkurzowa wysoka 6,7x12 mm szara</v>
      </c>
      <c r="C2275" s="185">
        <f t="shared" si="71"/>
        <v>3.5981999999999998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19.11</v>
      </c>
      <c r="I2275" s="460">
        <v>0.81560999999999995</v>
      </c>
      <c r="J2275" s="460">
        <v>3.5981999999999998</v>
      </c>
      <c r="K2275" s="460" t="e">
        <v>#N/A</v>
      </c>
      <c r="L2275" s="459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tłumienie</v>
      </c>
      <c r="C2276" s="185" t="e">
        <f t="shared" si="71"/>
        <v>#N/A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 t="e">
        <v>#N/A</v>
      </c>
      <c r="I2276" s="460" t="e">
        <v>#N/A</v>
      </c>
      <c r="J2276" s="460" t="e">
        <v>#N/A</v>
      </c>
      <c r="K2276" s="460" t="e">
        <v>#N/A</v>
      </c>
      <c r="L2276" s="459" t="e">
        <v>#N/A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S-S06-dolny profil prowadzący 2m alu</v>
      </c>
      <c r="C2354" s="185" t="e">
        <f t="shared" si="73"/>
        <v>#N/A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 t="e">
        <v>#N/A</v>
      </c>
      <c r="I2354" s="460" t="e">
        <v>#N/A</v>
      </c>
      <c r="J2354" s="460" t="e">
        <v>#N/A</v>
      </c>
      <c r="K2354" s="460" t="e">
        <v>#N/A</v>
      </c>
      <c r="L2354" s="459" t="e">
        <v>#N/A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dolny profil prowadzący 3,5m srebrny</v>
      </c>
      <c r="C2355" s="185" t="e">
        <f t="shared" si="73"/>
        <v>#N/A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 t="e">
        <v>#N/A</v>
      </c>
      <c r="I2355" s="460" t="e">
        <v>#N/A</v>
      </c>
      <c r="J2355" s="460" t="e">
        <v>#N/A</v>
      </c>
      <c r="K2355" s="460" t="e">
        <v>#N/A</v>
      </c>
      <c r="L2355" s="459" t="e">
        <v>#N/A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ZR10 zestaw do drzwi rozwieranych</v>
      </c>
      <c r="C2356" s="185">
        <f t="shared" si="73"/>
        <v>72.572999999999993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8012.5811299999996</v>
      </c>
      <c r="L2356" s="459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górny profil prowadzący 2m srebrny</v>
      </c>
      <c r="C2357" s="185" t="e">
        <f t="shared" si="73"/>
        <v>#N/A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 t="e">
        <v>#N/A</v>
      </c>
      <c r="I2357" s="460" t="e">
        <v>#N/A</v>
      </c>
      <c r="J2357" s="460" t="e">
        <v>#N/A</v>
      </c>
      <c r="K2357" s="460" t="e">
        <v>#N/A</v>
      </c>
      <c r="L2357" s="459" t="e">
        <v>#N/A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górny profil prowadzący 2,5m srebrny</v>
      </c>
      <c r="C2358" s="185" t="e">
        <f t="shared" si="73"/>
        <v>#N/A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 t="e">
        <v>#N/A</v>
      </c>
      <c r="I2358" s="460" t="e">
        <v>#N/A</v>
      </c>
      <c r="J2358" s="460" t="e">
        <v>#N/A</v>
      </c>
      <c r="K2358" s="460" t="e">
        <v>#N/A</v>
      </c>
      <c r="L2358" s="459" t="e">
        <v>#N/A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górny profil prowadzący 3m srebrny</v>
      </c>
      <c r="C2359" s="185">
        <f t="shared" si="73"/>
        <v>188.49064999999999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1001.07</v>
      </c>
      <c r="I2359" s="460">
        <v>44.059249999999999</v>
      </c>
      <c r="J2359" s="460">
        <v>188.49064999999999</v>
      </c>
      <c r="K2359" s="460" t="e">
        <v>#N/A</v>
      </c>
      <c r="L2359" s="459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dolny profil prowadzący 2m srebrny</v>
      </c>
      <c r="C2360" s="185">
        <f t="shared" si="73"/>
        <v>54.803440000000002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54.803440000000002</v>
      </c>
      <c r="K2360" s="460" t="e">
        <v>#N/A</v>
      </c>
      <c r="L2360" s="459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dolny profil prowadzący 2,5m srebrny</v>
      </c>
      <c r="C2361" s="185" t="e">
        <f t="shared" si="73"/>
        <v>#N/A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 t="e">
        <v>#N/A</v>
      </c>
      <c r="I2361" s="460" t="e">
        <v>#N/A</v>
      </c>
      <c r="J2361" s="460" t="e">
        <v>#N/A</v>
      </c>
      <c r="K2361" s="460" t="e">
        <v>#N/A</v>
      </c>
      <c r="L2361" s="459" t="e">
        <v>#N/A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dolny profil prowadzący alu 4m</v>
      </c>
      <c r="C2362" s="185" t="e">
        <f t="shared" si="73"/>
        <v>#N/A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 t="e">
        <v>#N/A</v>
      </c>
      <c r="I2362" s="460" t="e">
        <v>#N/A</v>
      </c>
      <c r="J2362" s="460" t="e">
        <v>#N/A</v>
      </c>
      <c r="K2362" s="460" t="e">
        <v>#N/A</v>
      </c>
      <c r="L2362" s="459" t="e">
        <v>#N/A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profil uchwytowy + profl maskujący alu 2,7m</v>
      </c>
      <c r="C2363" s="185" t="e">
        <f t="shared" si="73"/>
        <v>#N/A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 t="e">
        <v>#N/A</v>
      </c>
      <c r="I2363" s="460" t="e">
        <v>#N/A</v>
      </c>
      <c r="J2363" s="460" t="e">
        <v>#N/A</v>
      </c>
      <c r="K2363" s="460" t="e">
        <v>#N/A</v>
      </c>
      <c r="L2363" s="459" t="e">
        <v>#N/A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górny i środkowy profil 4/18mm 2m srebrny</v>
      </c>
      <c r="C2364" s="185" t="e">
        <f t="shared" si="73"/>
        <v>#N/A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 t="e">
        <v>#N/A</v>
      </c>
      <c r="I2364" s="460" t="e">
        <v>#N/A</v>
      </c>
      <c r="J2364" s="460" t="e">
        <v>#N/A</v>
      </c>
      <c r="K2364" s="460" t="e">
        <v>#N/A</v>
      </c>
      <c r="L2364" s="459" t="e">
        <v>#N/A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górny i środkowy profil 4/18mm 3m srebrny</v>
      </c>
      <c r="C2365" s="185">
        <f t="shared" si="73"/>
        <v>89.678370000000001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476.28</v>
      </c>
      <c r="I2365" s="460">
        <v>20.327470000000002</v>
      </c>
      <c r="J2365" s="460">
        <v>89.678370000000001</v>
      </c>
      <c r="K2365" s="460" t="e">
        <v>#N/A</v>
      </c>
      <c r="L2365" s="459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dolny profil 4/18mm 2m srebrny</v>
      </c>
      <c r="C2366" s="185" t="e">
        <f t="shared" si="73"/>
        <v>#N/A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 t="e">
        <v>#N/A</v>
      </c>
      <c r="I2366" s="460" t="e">
        <v>#N/A</v>
      </c>
      <c r="J2366" s="460" t="e">
        <v>#N/A</v>
      </c>
      <c r="K2366" s="460" t="e">
        <v>#N/A</v>
      </c>
      <c r="L2366" s="459" t="e">
        <v>#N/A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dolny profil 4/18mm 3m srebrny</v>
      </c>
      <c r="C2367" s="185">
        <f t="shared" si="73"/>
        <v>187.66030000000001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996.66</v>
      </c>
      <c r="I2367" s="460">
        <v>42.537120000000002</v>
      </c>
      <c r="J2367" s="460">
        <v>187.66030000000001</v>
      </c>
      <c r="K2367" s="460" t="e">
        <v>#N/A</v>
      </c>
      <c r="L2367" s="459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S-komplet okuć  S60</v>
      </c>
      <c r="C2368" s="185" t="e">
        <f t="shared" si="73"/>
        <v>#N/A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 t="e">
        <v>#N/A</v>
      </c>
      <c r="I2368" s="460" t="e">
        <v>#N/A</v>
      </c>
      <c r="J2368" s="460" t="e">
        <v>#N/A</v>
      </c>
      <c r="K2368" s="460" t="e">
        <v>#N/A</v>
      </c>
      <c r="L2368" s="459" t="e">
        <v>#N/A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profl maskujący alu 2,5m</v>
      </c>
      <c r="C2369" s="185" t="e">
        <f t="shared" si="73"/>
        <v>#N/A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 t="e">
        <v>#N/A</v>
      </c>
      <c r="I2369" s="460" t="e">
        <v>#N/A</v>
      </c>
      <c r="J2369" s="460" t="e">
        <v>#N/A</v>
      </c>
      <c r="K2369" s="460" t="e">
        <v>#N/A</v>
      </c>
      <c r="L2369" s="459" t="e">
        <v>#N/A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dolny profil 4/18mm 3,5m srebrny</v>
      </c>
      <c r="C2370" s="185" t="e">
        <f t="shared" si="73"/>
        <v>#N/A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 t="e">
        <v>#N/A</v>
      </c>
      <c r="I2370" s="460" t="e">
        <v>#N/A</v>
      </c>
      <c r="J2370" s="460" t="e">
        <v>#N/A</v>
      </c>
      <c r="K2370" s="460" t="e">
        <v>#N/A</v>
      </c>
      <c r="L2370" s="459" t="e">
        <v>#N/A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dolny profil prowadzący alu 3,5m</v>
      </c>
      <c r="C2371" s="185" t="e">
        <f t="shared" si="73"/>
        <v>#N/A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 t="e">
        <v>#N/A</v>
      </c>
      <c r="I2371" s="460" t="e">
        <v>#N/A</v>
      </c>
      <c r="J2371" s="460" t="e">
        <v>#N/A</v>
      </c>
      <c r="K2371" s="460" t="e">
        <v>#N/A</v>
      </c>
      <c r="L2371" s="459" t="e">
        <v>#N/A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profl maskujący 3,5m srebrny elox</v>
      </c>
      <c r="C2372" s="185" t="e">
        <f t="shared" ref="C2372:C2435" si="75">IF($A$2=1,H2372,IF($A$2=2,I2372,IF($A$2=3,J2372,IF($A$2=4,K2372,IF($A$2&gt;4,O2372,"zadat jazyk")))))</f>
        <v>#N/A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 t="e">
        <v>#N/A</v>
      </c>
      <c r="I2372" s="460" t="e">
        <v>#N/A</v>
      </c>
      <c r="J2372" s="460" t="e">
        <v>#N/A</v>
      </c>
      <c r="K2372" s="460" t="e">
        <v>#N/A</v>
      </c>
      <c r="L2372" s="459" t="e">
        <v>#N/A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górny i środkowy profil 3,5m srebrny</v>
      </c>
      <c r="C2373" s="185" t="e">
        <f t="shared" si="75"/>
        <v>#N/A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 t="e">
        <v>#N/A</v>
      </c>
      <c r="I2373" s="460" t="e">
        <v>#N/A</v>
      </c>
      <c r="J2373" s="460" t="e">
        <v>#N/A</v>
      </c>
      <c r="K2373" s="460" t="e">
        <v>#N/A</v>
      </c>
      <c r="L2373" s="459" t="e">
        <v>#N/A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S-S65-dolny profil 4/18mm 3,5m srebrny</v>
      </c>
      <c r="C2374" s="185" t="e">
        <f t="shared" si="75"/>
        <v>#N/A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 t="e">
        <v>#N/A</v>
      </c>
      <c r="I2374" s="460" t="e">
        <v>#N/A</v>
      </c>
      <c r="J2374" s="460" t="e">
        <v>#N/A</v>
      </c>
      <c r="K2374" s="460" t="e">
        <v>#N/A</v>
      </c>
      <c r="L2374" s="459" t="e">
        <v>#N/A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komplet 3 skrzydła  max. 21mm 50kg</v>
      </c>
      <c r="C2381" s="185" t="e">
        <f t="shared" si="75"/>
        <v>#N/A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 t="e">
        <v>#N/A</v>
      </c>
      <c r="I2381" s="460" t="e">
        <v>#N/A</v>
      </c>
      <c r="J2381" s="460" t="e">
        <v>#N/A</v>
      </c>
      <c r="K2381" s="460" t="e">
        <v>#N/A</v>
      </c>
      <c r="L2381" s="459" t="e">
        <v>#N/A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komplet 3 skrzydła  max. 28mm 50kg</v>
      </c>
      <c r="C2382" s="185" t="e">
        <f t="shared" si="75"/>
        <v>#N/A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 t="e">
        <v>#N/A</v>
      </c>
      <c r="I2382" s="460" t="e">
        <v>#N/A</v>
      </c>
      <c r="J2382" s="460" t="e">
        <v>#N/A</v>
      </c>
      <c r="K2382" s="460" t="e">
        <v>#N/A</v>
      </c>
      <c r="L2382" s="459" t="e">
        <v>#N/A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komplet 2 tłumień 40 Nm</v>
      </c>
      <c r="C2383" s="185" t="e">
        <f t="shared" si="75"/>
        <v>#N/A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 t="e">
        <v>#N/A</v>
      </c>
      <c r="I2383" s="460" t="e">
        <v>#N/A</v>
      </c>
      <c r="J2383" s="460" t="e">
        <v>#N/A</v>
      </c>
      <c r="K2383" s="460" t="e">
        <v>#N/A</v>
      </c>
      <c r="L2383" s="459" t="e">
        <v>#N/A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tor górny aluminium anodowane 3m</v>
      </c>
      <c r="C2386" s="185">
        <f t="shared" si="75"/>
        <v>87.320570000000004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 t="e">
        <v>#N/A</v>
      </c>
      <c r="L2386" s="459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tor dolny alu elox 3m</v>
      </c>
      <c r="C2387" s="185" t="e">
        <f t="shared" si="75"/>
        <v>#N/A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 t="e">
        <v>#N/A</v>
      </c>
      <c r="I2387" s="460" t="e">
        <v>#N/A</v>
      </c>
      <c r="J2387" s="460" t="e">
        <v>#N/A</v>
      </c>
      <c r="K2387" s="460" t="e">
        <v>#N/A</v>
      </c>
      <c r="L2387" s="459" t="e">
        <v>#N/A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IC-Profil  Standard 10mm wenge 2,75m</v>
      </c>
      <c r="C2391" s="185" t="e">
        <f t="shared" si="75"/>
        <v>#N/A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 t="e">
        <v>#N/A</v>
      </c>
      <c r="I2391" s="460" t="e">
        <v>#N/A</v>
      </c>
      <c r="J2391" s="460" t="e">
        <v>#N/A</v>
      </c>
      <c r="K2391" s="460" t="e">
        <v>#N/A</v>
      </c>
      <c r="L2391" s="459" t="e">
        <v>#N/A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IC-tor górny WE 10mm wenge 2m</v>
      </c>
      <c r="C2392" s="185" t="e">
        <f t="shared" si="75"/>
        <v>#N/A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 t="e">
        <v>#N/A</v>
      </c>
      <c r="I2392" s="460" t="e">
        <v>#N/A</v>
      </c>
      <c r="J2392" s="460" t="e">
        <v>#N/A</v>
      </c>
      <c r="K2392" s="460" t="e">
        <v>#N/A</v>
      </c>
      <c r="L2392" s="459" t="e">
        <v>#N/A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IC-tor dolny wenge 2m</v>
      </c>
      <c r="C2393" s="185" t="e">
        <f t="shared" si="75"/>
        <v>#N/A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 t="e">
        <v>#N/A</v>
      </c>
      <c r="I2393" s="460" t="e">
        <v>#N/A</v>
      </c>
      <c r="J2393" s="460" t="e">
        <v>#N/A</v>
      </c>
      <c r="K2393" s="460" t="e">
        <v>#N/A</v>
      </c>
      <c r="L2393" s="459" t="e">
        <v>#N/A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Profil poziomy wenge 2,4m</v>
      </c>
      <c r="C2394" s="185" t="e">
        <f t="shared" si="75"/>
        <v>#N/A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 t="e">
        <v>#N/A</v>
      </c>
      <c r="I2394" s="460" t="e">
        <v>#N/A</v>
      </c>
      <c r="J2394" s="460" t="e">
        <v>#N/A</v>
      </c>
      <c r="K2394" s="460" t="e">
        <v>#N/A</v>
      </c>
      <c r="L2394" s="459" t="e">
        <v>#N/A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IC-Listwa maskująca  14mm 3,6m szampan oksydowany</v>
      </c>
      <c r="C2395" s="185" t="e">
        <f t="shared" si="75"/>
        <v>#N/A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 t="e">
        <v>#N/A</v>
      </c>
      <c r="I2395" s="460" t="e">
        <v>#N/A</v>
      </c>
      <c r="J2395" s="460" t="e">
        <v>#N/A</v>
      </c>
      <c r="K2395" s="460" t="e">
        <v>#N/A</v>
      </c>
      <c r="L2395" s="459" t="e">
        <v>#N/A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IC-profil łączący WE wenge 2,75m</v>
      </c>
      <c r="C2396" s="185" t="e">
        <f t="shared" si="75"/>
        <v>#N/A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 t="e">
        <v>#N/A</v>
      </c>
      <c r="I2396" s="460" t="e">
        <v>#N/A</v>
      </c>
      <c r="J2396" s="460" t="e">
        <v>#N/A</v>
      </c>
      <c r="K2396" s="460" t="e">
        <v>#N/A</v>
      </c>
      <c r="L2396" s="459" t="e">
        <v>#N/A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 S 1200-1799 mm, komplet okuć + tory</v>
      </c>
      <c r="C2398" s="185">
        <f t="shared" si="75"/>
        <v>0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0</v>
      </c>
      <c r="I2398" s="460">
        <v>0</v>
      </c>
      <c r="J2398" s="460">
        <v>0</v>
      </c>
      <c r="K2398" s="460" t="e">
        <v>#N/A</v>
      </c>
      <c r="L2398" s="459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 M 1800-2199 mm, komplet okuć + tory</v>
      </c>
      <c r="C2399" s="185">
        <f t="shared" si="75"/>
        <v>0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0</v>
      </c>
      <c r="I2399" s="460">
        <v>0</v>
      </c>
      <c r="J2399" s="460">
        <v>0</v>
      </c>
      <c r="K2399" s="460" t="e">
        <v>#N/A</v>
      </c>
      <c r="L2399" s="459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 L 2200-2400 mm, komplet okuć + tory</v>
      </c>
      <c r="C2400" s="185">
        <f t="shared" si="75"/>
        <v>0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0</v>
      </c>
      <c r="I2400" s="460">
        <v>0</v>
      </c>
      <c r="J2400" s="460">
        <v>0</v>
      </c>
      <c r="K2400" s="460" t="e">
        <v>#N/A</v>
      </c>
      <c r="L2400" s="459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listwa podwójna 6m elox</v>
      </c>
      <c r="C2401" s="185" t="e">
        <f t="shared" si="75"/>
        <v>#N/A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 t="e">
        <v>#N/A</v>
      </c>
      <c r="I2401" s="460" t="e">
        <v>#N/A</v>
      </c>
      <c r="J2401" s="460" t="e">
        <v>#N/A</v>
      </c>
      <c r="K2401" s="460" t="e">
        <v>#N/A</v>
      </c>
      <c r="L2401" s="459" t="e">
        <v>#N/A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Wilson mocowanie drążka</v>
      </c>
      <c r="C2402" s="185" t="e">
        <f t="shared" si="75"/>
        <v>#N/A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 t="e">
        <v>#N/A</v>
      </c>
      <c r="I2402" s="460" t="e">
        <v>#N/A</v>
      </c>
      <c r="J2402" s="460" t="e">
        <v>#N/A</v>
      </c>
      <c r="K2402" s="460" t="e">
        <v>#N/A</v>
      </c>
      <c r="L2402" s="459" t="e">
        <v>#N/A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Wilson wspornik 2108mm srebrny</v>
      </c>
      <c r="C2403" s="185" t="e">
        <f t="shared" si="75"/>
        <v>#N/A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 t="e">
        <v>#N/A</v>
      </c>
      <c r="I2403" s="460" t="e">
        <v>#N/A</v>
      </c>
      <c r="J2403" s="460" t="e">
        <v>#N/A</v>
      </c>
      <c r="K2403" s="460" t="e">
        <v>#N/A</v>
      </c>
      <c r="L2403" s="459" t="e">
        <v>#N/A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Wilson wspornik 300mm srebrny</v>
      </c>
      <c r="C2404" s="185" t="e">
        <f t="shared" si="75"/>
        <v>#N/A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 t="e">
        <v>#N/A</v>
      </c>
      <c r="I2404" s="460" t="e">
        <v>#N/A</v>
      </c>
      <c r="J2404" s="460" t="e">
        <v>#N/A</v>
      </c>
      <c r="K2404" s="460" t="e">
        <v>#N/A</v>
      </c>
      <c r="L2404" s="459" t="e">
        <v>#N/A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Wilson wspornik 500mm srebrny</v>
      </c>
      <c r="C2405" s="185" t="e">
        <f t="shared" si="75"/>
        <v>#N/A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 t="e">
        <v>#N/A</v>
      </c>
      <c r="I2405" s="460" t="e">
        <v>#N/A</v>
      </c>
      <c r="J2405" s="460" t="e">
        <v>#N/A</v>
      </c>
      <c r="K2405" s="460" t="e">
        <v>#N/A</v>
      </c>
      <c r="L2405" s="459" t="e">
        <v>#N/A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Wilson drążek, średnica 25mm 1,2m srebrny</v>
      </c>
      <c r="C2406" s="185" t="e">
        <f t="shared" si="75"/>
        <v>#N/A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 t="e">
        <v>#N/A</v>
      </c>
      <c r="I2406" s="460" t="e">
        <v>#N/A</v>
      </c>
      <c r="J2406" s="460" t="e">
        <v>#N/A</v>
      </c>
      <c r="K2406" s="460" t="e">
        <v>#N/A</v>
      </c>
      <c r="L2406" s="459" t="e">
        <v>#N/A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 Wilson klips montażowy srebrny</v>
      </c>
      <c r="C2407" s="185" t="e">
        <f t="shared" si="75"/>
        <v>#N/A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 t="e">
        <v>#N/A</v>
      </c>
      <c r="I2407" s="460" t="e">
        <v>#N/A</v>
      </c>
      <c r="J2407" s="460" t="e">
        <v>#N/A</v>
      </c>
      <c r="K2407" s="460" t="e">
        <v>#N/A</v>
      </c>
      <c r="L2407" s="459" t="e">
        <v>#N/A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Wilson záslepka do drążka</v>
      </c>
      <c r="C2408" s="185">
        <f t="shared" si="75"/>
        <v>4.0144000000000002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471.56380999999999</v>
      </c>
      <c r="L2408" s="459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profl maskujący (maskownica) 2m srebrny</v>
      </c>
      <c r="C2409" s="185" t="e">
        <f t="shared" si="75"/>
        <v>#N/A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 t="e">
        <v>#N/A</v>
      </c>
      <c r="I2409" s="460" t="e">
        <v>#N/A</v>
      </c>
      <c r="J2409" s="460" t="e">
        <v>#N/A</v>
      </c>
      <c r="K2409" s="460" t="e">
        <v>#N/A</v>
      </c>
      <c r="L2409" s="459" t="e">
        <v>#N/A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IC-rączka Standard 2,75 m 4 mm arktyczne srebro</v>
      </c>
      <c r="C2411" s="185" t="e">
        <f t="shared" si="75"/>
        <v>#N/A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 t="e">
        <v>#N/A</v>
      </c>
      <c r="I2411" s="460" t="e">
        <v>#N/A</v>
      </c>
      <c r="J2411" s="460" t="e">
        <v>#N/A</v>
      </c>
      <c r="K2411" s="460" t="e">
        <v>#N/A</v>
      </c>
      <c r="L2411" s="459" t="e">
        <v>#N/A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IC-komplet wózków Standard/Classic 1 skrzydło</v>
      </c>
      <c r="C2412" s="185" t="e">
        <f t="shared" si="75"/>
        <v>#N/A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 t="e">
        <v>#N/A</v>
      </c>
      <c r="I2412" s="460" t="e">
        <v>#N/A</v>
      </c>
      <c r="J2412" s="460" t="e">
        <v>#N/A</v>
      </c>
      <c r="K2412" s="460" t="e">
        <v>#N/A</v>
      </c>
      <c r="L2412" s="459" t="e">
        <v>#N/A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górny profil prowadzący 1,5m srebrny</v>
      </c>
      <c r="C2414" s="185" t="e">
        <f t="shared" si="75"/>
        <v>#N/A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 t="e">
        <v>#N/A</v>
      </c>
      <c r="I2414" s="460" t="e">
        <v>#N/A</v>
      </c>
      <c r="J2414" s="460" t="e">
        <v>#N/A</v>
      </c>
      <c r="K2414" s="460" t="e">
        <v>#N/A</v>
      </c>
      <c r="L2414" s="459" t="e">
        <v>#N/A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dolny profil 1,5m elox srebrny</v>
      </c>
      <c r="C2415" s="185" t="e">
        <f t="shared" si="75"/>
        <v>#N/A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 t="e">
        <v>#N/A</v>
      </c>
      <c r="I2415" s="460" t="e">
        <v>#N/A</v>
      </c>
      <c r="J2415" s="460" t="e">
        <v>#N/A</v>
      </c>
      <c r="K2415" s="460" t="e">
        <v>#N/A</v>
      </c>
      <c r="L2415" s="459" t="e">
        <v>#N/A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profl maskujący (maskownica) 1,5m srebrny</v>
      </c>
      <c r="C2416" s="185" t="e">
        <f t="shared" si="75"/>
        <v>#N/A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 t="e">
        <v>#N/A</v>
      </c>
      <c r="I2416" s="460" t="e">
        <v>#N/A</v>
      </c>
      <c r="J2416" s="460" t="e">
        <v>#N/A</v>
      </c>
      <c r="K2416" s="460" t="e">
        <v>#N/A</v>
      </c>
      <c r="L2416" s="459" t="e">
        <v>#N/A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górny i środkowy profil 2,5m srebrny</v>
      </c>
      <c r="C2417" s="185" t="e">
        <f t="shared" si="75"/>
        <v>#N/A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 t="e">
        <v>#N/A</v>
      </c>
      <c r="I2417" s="460" t="e">
        <v>#N/A</v>
      </c>
      <c r="J2417" s="460" t="e">
        <v>#N/A</v>
      </c>
      <c r="K2417" s="460" t="e">
        <v>#N/A</v>
      </c>
      <c r="L2417" s="459" t="e">
        <v>#N/A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dolny profil 4/18mm 2,5m srebrny</v>
      </c>
      <c r="C2418" s="185" t="e">
        <f t="shared" si="75"/>
        <v>#N/A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 t="e">
        <v>#N/A</v>
      </c>
      <c r="I2418" s="460" t="e">
        <v>#N/A</v>
      </c>
      <c r="J2418" s="460" t="e">
        <v>#N/A</v>
      </c>
      <c r="K2418" s="460" t="e">
        <v>#N/A</v>
      </c>
      <c r="L2418" s="459" t="e">
        <v>#N/A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 S30 podwójny surowy 3m</v>
      </c>
      <c r="C2420" s="185" t="e">
        <f t="shared" si="75"/>
        <v>#N/A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 t="e">
        <v>#N/A</v>
      </c>
      <c r="I2420" s="460" t="e">
        <v>#N/A</v>
      </c>
      <c r="J2420" s="460" t="e">
        <v>#N/A</v>
      </c>
      <c r="K2420" s="460" t="e">
        <v>#N/A</v>
      </c>
      <c r="L2420" s="459" t="e">
        <v>#N/A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Wilson A komplet półek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Wilson B komplet półek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Wilson C komplet półek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Wilson D komplet półek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Wilson E komplet półek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Wilson F komplet półek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Mocowanie listwy 1390 (40kg)</v>
      </c>
      <c r="C2427" s="185" t="e">
        <f t="shared" si="75"/>
        <v>#N/A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 t="e">
        <v>#N/A</v>
      </c>
      <c r="I2427" s="460" t="e">
        <v>#N/A</v>
      </c>
      <c r="J2427" s="460" t="e">
        <v>#N/A</v>
      </c>
      <c r="K2427" s="460" t="e">
        <v>#N/A</v>
      </c>
      <c r="L2427" s="459" t="e">
        <v>#N/A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okucia do drzwi przesuwnych 1030 2 skrzydła</v>
      </c>
      <c r="C2428" s="185">
        <f t="shared" si="75"/>
        <v>34.622169999999997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538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okucia do drzwi przesuwnych 1030 3 skrzydła</v>
      </c>
      <c r="C2429" s="185">
        <f t="shared" si="75"/>
        <v>51.973350000000003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538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Profil pionowy szeroki (Classic) biały  2,75m</v>
      </c>
      <c r="C2430" s="185" t="e">
        <f t="shared" si="75"/>
        <v>#N/A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 t="e">
        <v>#N/A</v>
      </c>
      <c r="I2430" s="460" t="e">
        <v>#N/A</v>
      </c>
      <c r="J2430" s="460" t="e">
        <v>#N/A</v>
      </c>
      <c r="K2430" s="460" t="e">
        <v>#N/A</v>
      </c>
      <c r="L2430" s="459" t="e">
        <v>#N/A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Profil pionowy szeroki (Classic) biały  2,75m</v>
      </c>
      <c r="C2431" s="185" t="e">
        <f t="shared" si="75"/>
        <v>#N/A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 t="e">
        <v>#N/A</v>
      </c>
      <c r="I2431" s="460" t="e">
        <v>#N/A</v>
      </c>
      <c r="J2431" s="460" t="e">
        <v>#N/A</v>
      </c>
      <c r="K2431" s="460" t="e">
        <v>#N/A</v>
      </c>
      <c r="L2431" s="459" t="e">
        <v>#N/A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IC-tor górny biały 3m</v>
      </c>
      <c r="C2432" s="185" t="e">
        <f t="shared" si="75"/>
        <v>#N/A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 t="e">
        <v>#N/A</v>
      </c>
      <c r="I2432" s="460" t="e">
        <v>#N/A</v>
      </c>
      <c r="J2432" s="460" t="e">
        <v>#N/A</v>
      </c>
      <c r="K2432" s="460" t="e">
        <v>#N/A</v>
      </c>
      <c r="L2432" s="459" t="e">
        <v>#N/A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IC-tor dolny biały  3m</v>
      </c>
      <c r="C2433" s="185" t="e">
        <f t="shared" si="75"/>
        <v>#N/A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 t="e">
        <v>#N/A</v>
      </c>
      <c r="I2433" s="460" t="e">
        <v>#N/A</v>
      </c>
      <c r="J2433" s="460" t="e">
        <v>#N/A</v>
      </c>
      <c r="K2433" s="460" t="e">
        <v>#N/A</v>
      </c>
      <c r="L2433" s="459" t="e">
        <v>#N/A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 mm Profil prowadzący biały 2,4 m</v>
      </c>
      <c r="C2434" s="185" t="e">
        <f t="shared" si="75"/>
        <v>#N/A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 t="e">
        <v>#N/A</v>
      </c>
      <c r="I2434" s="460" t="e">
        <v>#N/A</v>
      </c>
      <c r="J2434" s="460" t="e">
        <v>#N/A</v>
      </c>
      <c r="K2434" s="460" t="e">
        <v>#N/A</v>
      </c>
      <c r="L2434" s="459" t="e">
        <v>#N/A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IC-rączka Rome 10mm alu EU szampan 5,3m</v>
      </c>
      <c r="C2435" s="185" t="e">
        <f t="shared" si="75"/>
        <v>#N/A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 t="e">
        <v>#N/A</v>
      </c>
      <c r="I2435" s="460" t="e">
        <v>#N/A</v>
      </c>
      <c r="J2435" s="460" t="e">
        <v>#N/A</v>
      </c>
      <c r="K2435" s="460" t="e">
        <v>#N/A</v>
      </c>
      <c r="L2435" s="459" t="e">
        <v>#N/A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Universal 18 rączka 2,7 m, srebrna</v>
      </c>
      <c r="C2437" s="185">
        <f t="shared" si="77"/>
        <v>57.807389999999998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6470.1591200000003</v>
      </c>
      <c r="L2437" s="459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Focus 18 mm rączka 2,7 m, srebrna</v>
      </c>
      <c r="C2438" s="185">
        <f t="shared" si="77"/>
        <v>23.26613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2604.08887</v>
      </c>
      <c r="L2438" s="459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Gemini tor górny 1,7m złoty</v>
      </c>
      <c r="C2439" s="185">
        <f t="shared" si="77"/>
        <v>66.766980000000004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6810.6939700000003</v>
      </c>
      <c r="L2439" s="459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horní vedení 1,7m oliva</v>
      </c>
      <c r="C2440" s="185">
        <f t="shared" si="77"/>
        <v>66.766980000000004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6810.6939700000003</v>
      </c>
      <c r="L2440" s="459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horní vedení 1,7m stříbrná</v>
      </c>
      <c r="C2441" s="185">
        <f t="shared" si="77"/>
        <v>52.183329999999998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5448.5553399999999</v>
      </c>
      <c r="L2441" s="459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horní vedení 2,35m zlatá</v>
      </c>
      <c r="C2442" s="185">
        <f t="shared" si="77"/>
        <v>84.116020000000006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9414.7828399999999</v>
      </c>
      <c r="L2442" s="459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horní vedení 2,35m oliva</v>
      </c>
      <c r="C2443" s="185">
        <f t="shared" si="77"/>
        <v>84.116020000000006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9414.7828399999999</v>
      </c>
      <c r="L2443" s="459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horní vedení 2,35m stříbrná</v>
      </c>
      <c r="C2444" s="185">
        <f t="shared" si="77"/>
        <v>72.115889999999993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7521.8103799999999</v>
      </c>
      <c r="L2444" s="459" t="s">
        <v>538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01033 Gemini horní vedení 3m zlatá</v>
      </c>
      <c r="C2445" s="185">
        <f t="shared" si="77"/>
        <v>107.38215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12018.8717</v>
      </c>
      <c r="L2445" s="459" t="s">
        <v>539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horní vedení 3m oliva</v>
      </c>
      <c r="C2446" s="185">
        <f t="shared" si="77"/>
        <v>107.38215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12018.8717</v>
      </c>
      <c r="L2446" s="459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01026 Gemini horní vedení 3m stříbrná</v>
      </c>
      <c r="C2447" s="185">
        <f t="shared" si="77"/>
        <v>92.079909999999998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9605.0817900000002</v>
      </c>
      <c r="L2447" s="459" t="s">
        <v>538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Gemini horní vedení 4,05m zlatá</v>
      </c>
      <c r="C2448" s="185">
        <f t="shared" si="77"/>
        <v>144.9659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16225.4768</v>
      </c>
      <c r="L2448" s="459" t="s">
        <v>540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horní vedení 4,05m oliva</v>
      </c>
      <c r="C2449" s="185">
        <f t="shared" si="77"/>
        <v>144.9659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16225.4768</v>
      </c>
      <c r="L2449" s="459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horní vedení 4,05m stříbrná</v>
      </c>
      <c r="C2450" s="185">
        <f t="shared" si="77"/>
        <v>124.31495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12960.35014</v>
      </c>
      <c r="L2450" s="459" t="s">
        <v>538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Cleft tor dolny 1,7m złoty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Cleft tor dolny 1,7m jasny brąz</v>
      </c>
      <c r="C2452" s="185" t="e">
        <f t="shared" si="77"/>
        <v>#N/A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 t="e">
        <v>#N/A</v>
      </c>
      <c r="I2452" s="460" t="e">
        <v>#N/A</v>
      </c>
      <c r="J2452" s="460" t="e">
        <v>#N/A</v>
      </c>
      <c r="K2452" s="460" t="e">
        <v>#N/A</v>
      </c>
      <c r="L2452" s="459" t="e">
        <v>#N/A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Cleft tor dolny 1,7m srebrny</v>
      </c>
      <c r="C2453" s="185" t="e">
        <f t="shared" si="77"/>
        <v>#N/A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 t="e">
        <v>#N/A</v>
      </c>
      <c r="I2453" s="460" t="e">
        <v>#N/A</v>
      </c>
      <c r="J2453" s="460" t="e">
        <v>#N/A</v>
      </c>
      <c r="K2453" s="460" t="e">
        <v>#N/A</v>
      </c>
      <c r="L2453" s="459" t="e">
        <v>#N/A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Cleft tor dolny 3m złoty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Cleft tor dolny 4,05m złoty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szczotka odbojowa z klejem 6,7x4 mm, szara</v>
      </c>
      <c r="C2456" s="185">
        <f t="shared" si="77"/>
        <v>1.0506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89.639870000000002</v>
      </c>
      <c r="L2456" s="459" t="s">
        <v>538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kątownik Mini 17x11mm 1,7m złoty</v>
      </c>
      <c r="C2457" s="185">
        <f t="shared" si="77"/>
        <v>10.55925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1181.85564</v>
      </c>
      <c r="L2457" s="459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úhelník 17x11mm 1,7m oliva</v>
      </c>
      <c r="C2458" s="185">
        <f t="shared" si="77"/>
        <v>10.55925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1181.85564</v>
      </c>
      <c r="L2458" s="459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úhelník 17x11mm 1,7m stříbrná</v>
      </c>
      <c r="C2459" s="185">
        <f t="shared" si="77"/>
        <v>8.7942400000000003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941.47843999999998</v>
      </c>
      <c r="L2459" s="459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kątownik Mini 17x11mm 2,35m złoty</v>
      </c>
      <c r="C2460" s="185">
        <f t="shared" si="77"/>
        <v>14.586069999999999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1632.56332</v>
      </c>
      <c r="L2460" s="459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00094 úhelník 17x11mm 2,35m oliva</v>
      </c>
      <c r="C2461" s="185">
        <f t="shared" si="77"/>
        <v>14.586069999999999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1632.56332</v>
      </c>
      <c r="L2461" s="459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kątownik 17x11mm 2,35m srebrny</v>
      </c>
      <c r="C2462" s="185">
        <f t="shared" si="77"/>
        <v>12.129440000000001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1302.0444299999999</v>
      </c>
      <c r="L2462" s="459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kątownik Mini 17x11mm 3m złoty</v>
      </c>
      <c r="C2463" s="185">
        <f t="shared" si="77"/>
        <v>18.523420000000002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2073.2554399999999</v>
      </c>
      <c r="L2463" s="459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kątownik 17x11mm 3m jasny brąz</v>
      </c>
      <c r="C2464" s="185">
        <f t="shared" si="77"/>
        <v>18.523420000000002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2073.2554399999999</v>
      </c>
      <c r="L2464" s="459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kątownik 17x11mm 3m srebrny</v>
      </c>
      <c r="C2465" s="185">
        <f t="shared" si="77"/>
        <v>15.49611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1662.61043</v>
      </c>
      <c r="L2465" s="459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Micra tor górny / dolny 1,7 m, srebrny anodowany</v>
      </c>
      <c r="C2466" s="185">
        <f t="shared" si="77"/>
        <v>11.699400000000001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1292.0288700000001</v>
      </c>
      <c r="L2466" s="459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Micra tor górny / dolny 2,35 m, srebrny anodowany</v>
      </c>
      <c r="C2467" s="185">
        <f t="shared" si="77"/>
        <v>16.1568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1792.81519</v>
      </c>
      <c r="L2467" s="459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Micra tor górny / dolny 3 m, srebrny anodowany</v>
      </c>
      <c r="C2468" s="185">
        <f t="shared" si="77"/>
        <v>20.6448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2283.58554</v>
      </c>
      <c r="L2468" s="459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Micra tor górny / dolny 1,7 m, surowy</v>
      </c>
      <c r="C2469" s="185">
        <f t="shared" si="77"/>
        <v>8.9485100000000006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1001.57265</v>
      </c>
      <c r="L2469" s="459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Micra tor górny / dolny 2,35 m, surowy</v>
      </c>
      <c r="C2470" s="185">
        <f t="shared" si="77"/>
        <v>12.43843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1392.18614</v>
      </c>
      <c r="L2470" s="459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Micra tor górny / dolny 3 m, surowy</v>
      </c>
      <c r="C2471" s="185">
        <f t="shared" si="77"/>
        <v>15.83888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1772.7836600000001</v>
      </c>
      <c r="L2471" s="459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zaślepka do toru Cleft 1,7m złoty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zaślepka do toru Cleft 2,35m złoty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zaślepka do toru Cleft 2,35m srebrny</v>
      </c>
      <c r="C2474" s="185" t="e">
        <f t="shared" si="77"/>
        <v>#N/A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 t="e">
        <v>#N/A</v>
      </c>
      <c r="I2474" s="460" t="e">
        <v>#N/A</v>
      </c>
      <c r="J2474" s="460" t="e">
        <v>#N/A</v>
      </c>
      <c r="K2474" s="460" t="e">
        <v>#N/A</v>
      </c>
      <c r="L2474" s="459" t="e">
        <v>#N/A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zaślepka do toru Cleft 3m złoty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listwa łącząca "T" 3m jasny brąz</v>
      </c>
      <c r="C2476" s="185">
        <f t="shared" si="77"/>
        <v>40.805219999999998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4567.1710700000003</v>
      </c>
      <c r="L2476" s="459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listwa łącząca "T" 3m srebrna</v>
      </c>
      <c r="C2477" s="185">
        <f t="shared" si="77"/>
        <v>33.609000000000002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3715.8343500000001</v>
      </c>
      <c r="L2477" s="459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Gemini tor dolny 3m 10mm srebrny</v>
      </c>
      <c r="C2478" s="185">
        <f t="shared" si="77"/>
        <v>95.563800000000001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9965.6477799999993</v>
      </c>
      <c r="L2478" s="459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maskownica dolna 3m 10mm jasny brąz</v>
      </c>
      <c r="C2479" s="185">
        <f t="shared" si="77"/>
        <v>108.81391000000001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12179.123159999999</v>
      </c>
      <c r="L2479" s="459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listwa maskownica dolna 2,35m 10mm srebrny</v>
      </c>
      <c r="C2480" s="185">
        <f t="shared" si="77"/>
        <v>74.827200000000005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7792.2350699999997</v>
      </c>
      <c r="L2480" s="459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maskownica dolna 2,35m 10mm jasny brąz</v>
      </c>
      <c r="C2481" s="185">
        <f t="shared" si="77"/>
        <v>85.010859999999994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9514.9400999999998</v>
      </c>
      <c r="L2481" s="459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maskownica dolna 1,7m 10mm srebrny</v>
      </c>
      <c r="C2482" s="185">
        <f t="shared" si="77"/>
        <v>54.141599999999997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5638.8538900000003</v>
      </c>
      <c r="L2482" s="459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maskownica dolna 1,7m 10mm jasny brąz</v>
      </c>
      <c r="C2483" s="185">
        <f t="shared" si="77"/>
        <v>61.655250000000002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6900.83565</v>
      </c>
      <c r="L2483" s="459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listwa pozioma górna 1,7m srebrny</v>
      </c>
      <c r="C2484" s="185">
        <f t="shared" si="77"/>
        <v>46.144799999999996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3104.87518</v>
      </c>
      <c r="L2484" s="459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listwa pozioma górna 1,7m jasny brąz</v>
      </c>
      <c r="C2485" s="185">
        <f t="shared" si="77"/>
        <v>50.755200000000002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3705.8187600000001</v>
      </c>
      <c r="L2485" s="459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listwa pozioma górna 2,35m srebrny</v>
      </c>
      <c r="C2486" s="185">
        <f t="shared" si="77"/>
        <v>63.801000000000002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4296.7467900000001</v>
      </c>
      <c r="L2486" s="459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listwa pozioma górna 2,35m jasny brąz</v>
      </c>
      <c r="C2487" s="185">
        <f t="shared" si="77"/>
        <v>70.186199999999999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5138.0675700000002</v>
      </c>
      <c r="L2487" s="459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listwa pozioma górna 3m srebrny</v>
      </c>
      <c r="C2488" s="185">
        <f t="shared" si="77"/>
        <v>81.426599999999993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5488.6179899999997</v>
      </c>
      <c r="L2488" s="459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listwa pozioma górna 3m jasny brąz</v>
      </c>
      <c r="C2489" s="185">
        <f t="shared" si="77"/>
        <v>89.566199999999995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6560.3008</v>
      </c>
      <c r="L2489" s="459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listwa łącząca H10 3m srebrna</v>
      </c>
      <c r="C2490" s="185">
        <f t="shared" si="77"/>
        <v>51.754800000000003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4687.3598899999997</v>
      </c>
      <c r="L2490" s="459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listwa łącząca H10 3m jasny brąz</v>
      </c>
      <c r="C2491" s="185">
        <f t="shared" si="77"/>
        <v>56.915999999999997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5859.1999500000002</v>
      </c>
      <c r="L2491" s="459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uszczelka do szkła 10/4 mm</v>
      </c>
      <c r="C2492" s="185">
        <f t="shared" si="77"/>
        <v>2.7501000000000002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317.79295000000002</v>
      </c>
      <c r="L2492" s="459" t="s">
        <v>538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uszczelka bezbarwna 10/6mm</v>
      </c>
      <c r="C2493" s="185">
        <f t="shared" si="77"/>
        <v>2.7501000000000002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317.79295000000002</v>
      </c>
      <c r="L2493" s="459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blachowkręt 6,3x32 SEVROLL i Simple</v>
      </c>
      <c r="C2494" s="185">
        <f t="shared" si="77"/>
        <v>0.52500000000000002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61.50817</v>
      </c>
      <c r="L2494" s="459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zaślepka do toru Cleft 4,05m złoty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Focus 16mm rączka 2,7m jasny brąz</v>
      </c>
      <c r="C2496" s="185">
        <f t="shared" si="77"/>
        <v>29.08267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3255.1110800000001</v>
      </c>
      <c r="L2496" s="459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Focus 16mm rączka 2,7m srebrny</v>
      </c>
      <c r="C2497" s="185">
        <f t="shared" si="77"/>
        <v>23.26613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2604.08887</v>
      </c>
      <c r="L2497" s="459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- listwa pozioma górna 1,7 m złota</v>
      </c>
      <c r="C2498" s="185">
        <f t="shared" si="77"/>
        <v>50.755200000000002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3705.8187600000001</v>
      </c>
      <c r="L2498" s="459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listwa pozioma górna 2,35m złoty</v>
      </c>
      <c r="C2499" s="185">
        <f t="shared" si="77"/>
        <v>70.186199999999999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5138.0675700000002</v>
      </c>
      <c r="L2499" s="459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listwa pozioma górna 3m złoty</v>
      </c>
      <c r="C2500" s="185">
        <f t="shared" ref="C2500:C2563" si="79">IF($A$2=1,H2500,IF($A$2=2,I2500,IF($A$2=3,J2500,IF($A$2=4,K2500,IF($A$2&gt;4,O2500,"zadat jazyk")))))</f>
        <v>89.566199999999995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6560.3008</v>
      </c>
      <c r="L2500" s="459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listwa pozioma dolna 2,35m 10mm złoty</v>
      </c>
      <c r="C2501" s="185">
        <f t="shared" si="79"/>
        <v>85.010859999999994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9514.9400999999998</v>
      </c>
      <c r="L2501" s="459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listwa pozioma dolna 1,7m 10mm złoty</v>
      </c>
      <c r="C2502" s="185">
        <f t="shared" si="79"/>
        <v>61.655250000000002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6900.83565</v>
      </c>
      <c r="L2502" s="459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listwa pozioma dolna 3m 10mm złoty</v>
      </c>
      <c r="C2503" s="185">
        <f t="shared" si="79"/>
        <v>108.81391000000001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12179.123159999999</v>
      </c>
      <c r="L2503" s="459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listwa łącząca H10 3m złoty</v>
      </c>
      <c r="C2504" s="185">
        <f t="shared" si="79"/>
        <v>56.915999999999997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5859.1999500000002</v>
      </c>
      <c r="L2504" s="459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profil "U" do płyty laminowanej 18mm 3m srebrny</v>
      </c>
      <c r="C2505" s="185">
        <f t="shared" si="79"/>
        <v>16.375779999999999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1832.8778600000001</v>
      </c>
      <c r="L2505" s="459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Tytan rączka 18 mm 2,7 m, oliwka</v>
      </c>
      <c r="C2506" s="185">
        <f t="shared" si="79"/>
        <v>72.504180000000005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7271.4172099999996</v>
      </c>
      <c r="L2506" s="459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Tytan rączka 18 mm 2,7 m, srebrna</v>
      </c>
      <c r="C2507" s="185">
        <f t="shared" si="79"/>
        <v>67.83381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5979.3887400000003</v>
      </c>
      <c r="L2507" s="459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profil "U" Decor do płyty laminowanej 16mm 3m srebrny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profil "U" do płyty laminowanej 18mm 3m jasny brąz</v>
      </c>
      <c r="C2509" s="185">
        <f t="shared" si="79"/>
        <v>20.492090000000001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2293.6015000000002</v>
      </c>
      <c r="L2509" s="459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profil "U" do płyty laminowanej 18mm 3m złoty</v>
      </c>
      <c r="C2510" s="185">
        <f t="shared" si="79"/>
        <v>20.492090000000001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2293.6015000000002</v>
      </c>
      <c r="L2510" s="459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szczotka odbojowa z klejem 4,8x4 mm, szara</v>
      </c>
      <c r="C2511" s="185">
        <f t="shared" si="79"/>
        <v>0.76500000000000001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81.360140000000001</v>
      </c>
      <c r="L2511" s="459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spojovací lišta H30 3m oliva</v>
      </c>
      <c r="C2512" s="185">
        <f t="shared" si="79"/>
        <v>94.406800000000004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10566.59137</v>
      </c>
      <c r="L2512" s="459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spojovací lišta H30 3m stříbrná</v>
      </c>
      <c r="C2513" s="185">
        <f t="shared" si="79"/>
        <v>78.601200000000006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8663.6033499999994</v>
      </c>
      <c r="L2513" s="459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úhelník K2 Decor 1,7m stříbrná</v>
      </c>
      <c r="C2514" s="185">
        <f t="shared" si="79"/>
        <v>12.046200000000001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1322.0759599999999</v>
      </c>
      <c r="L2514" s="459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kątownik K2 Decor 1,7m jasny brąz</v>
      </c>
      <c r="C2515" s="185">
        <f t="shared" si="79"/>
        <v>14.76505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1652.5948699999999</v>
      </c>
      <c r="L2515" s="459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úhelník K2 Decor 2,35m stříbrná</v>
      </c>
      <c r="C2516" s="185">
        <f t="shared" si="79"/>
        <v>16.666799999999999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1832.8778600000001</v>
      </c>
      <c r="L2516" s="459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kątownik K2 Decor 2,35m złoty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úhelník K2 Decor 2,35m oliva</v>
      </c>
      <c r="C2518" s="185">
        <f t="shared" si="79"/>
        <v>20.492090000000001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2293.6015000000002</v>
      </c>
      <c r="L2518" s="459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úhelník K2 Decor 3m stříbrná</v>
      </c>
      <c r="C2519" s="185">
        <f t="shared" si="79"/>
        <v>21.266999999999999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2343.6801399999999</v>
      </c>
      <c r="L2519" s="459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úhelník K2 Decor 3m oliva</v>
      </c>
      <c r="C2520" s="185">
        <f t="shared" si="79"/>
        <v>26.04017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2914.5762300000001</v>
      </c>
      <c r="L2520" s="459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spojovací lišta H18 3m stříbrná</v>
      </c>
      <c r="C2521" s="185">
        <f t="shared" si="79"/>
        <v>48.042000000000002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4617.2497100000001</v>
      </c>
      <c r="L2521" s="459" t="s">
        <v>538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spojovací lišta H18 3m zlatá</v>
      </c>
      <c r="C2522" s="185">
        <f t="shared" si="79"/>
        <v>52.856400000000001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5769.0582599999998</v>
      </c>
      <c r="L2522" s="459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spojovací lišta H18 3m oliva</v>
      </c>
      <c r="C2523" s="185">
        <f t="shared" si="79"/>
        <v>52.856400000000001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5769.0582599999998</v>
      </c>
      <c r="L2523" s="459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spojovací lišta T Decor 3m stříbrná</v>
      </c>
      <c r="C2524" s="185">
        <f t="shared" si="79"/>
        <v>34.210799999999999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3585.62997</v>
      </c>
      <c r="L2524" s="459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spojovací lišta T Decor 3m oliva</v>
      </c>
      <c r="C2525" s="185">
        <f t="shared" si="79"/>
        <v>40.08934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4487.0453600000001</v>
      </c>
      <c r="L2525" s="459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00036 profil "U" Decor 18mm 3m stříbrná</v>
      </c>
      <c r="C2526" s="185">
        <f t="shared" si="79"/>
        <v>24.518930000000001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2744.3092099999999</v>
      </c>
      <c r="L2526" s="459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profil "U" Decor 18mm 3m jasny brąz</v>
      </c>
      <c r="C2527" s="185">
        <f t="shared" si="79"/>
        <v>30.6934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3435.3940899999998</v>
      </c>
      <c r="L2527" s="459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szczotka przeciwkurzowa bez kleju 4,8x13 mm, szara</v>
      </c>
      <c r="C2528" s="185">
        <f t="shared" si="79"/>
        <v>0.80579999999999996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90.9</v>
      </c>
      <c r="L2528" s="459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Elegant rączka 2,7m srebrna (22/1)</v>
      </c>
      <c r="C2529" s="185">
        <f t="shared" si="79"/>
        <v>81.096440000000001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7541.8419000000004</v>
      </c>
      <c r="L2529" s="459" t="s">
        <v>540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Orient rączka 2,7m srebrna (32/1)</v>
      </c>
      <c r="C2530" s="185" t="e">
        <f t="shared" si="79"/>
        <v>#N/A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 t="e">
        <v>#N/A</v>
      </c>
      <c r="I2530" s="460" t="e">
        <v>#N/A</v>
      </c>
      <c r="J2530" s="460" t="e">
        <v>#N/A</v>
      </c>
      <c r="K2530" s="460" t="e">
        <v>#N/A</v>
      </c>
      <c r="L2530" s="459" t="e">
        <v>#N/A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 tor górny 1,8m srebrny (32/1)</v>
      </c>
      <c r="C2531" s="185">
        <f t="shared" si="79"/>
        <v>83.524460000000005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8182.8485600000004</v>
      </c>
      <c r="L2531" s="459" t="s">
        <v>540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(Astin)tor górny 2,7m srebrny (32/1)</v>
      </c>
      <c r="C2532" s="185">
        <f t="shared" si="79"/>
        <v>144.12826999999999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14122.17425</v>
      </c>
      <c r="L2532" s="459" t="s">
        <v>540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 tor górny 3,6m srebrny (32/1)</v>
      </c>
      <c r="C2533" s="185" t="e">
        <f t="shared" si="79"/>
        <v>#N/A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 t="e">
        <v>#N/A</v>
      </c>
      <c r="I2533" s="460" t="e">
        <v>#N/A</v>
      </c>
      <c r="J2533" s="460" t="e">
        <v>#N/A</v>
      </c>
      <c r="K2533" s="460" t="e">
        <v>#N/A</v>
      </c>
      <c r="L2533" s="459" t="e">
        <v>#N/A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 tor dolny 1,8m srebrny (22/1)</v>
      </c>
      <c r="C2534" s="185" t="e">
        <f t="shared" si="79"/>
        <v>#N/A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 t="e">
        <v>#N/A</v>
      </c>
      <c r="I2534" s="460" t="e">
        <v>#N/A</v>
      </c>
      <c r="J2534" s="460" t="e">
        <v>#N/A</v>
      </c>
      <c r="K2534" s="460" t="e">
        <v>#N/A</v>
      </c>
      <c r="L2534" s="459" t="e">
        <v>#N/A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 tor dolny 2,7m srebrny (22/1)</v>
      </c>
      <c r="C2535" s="185" t="e">
        <f t="shared" si="79"/>
        <v>#N/A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 t="e">
        <v>#N/A</v>
      </c>
      <c r="I2535" s="460" t="e">
        <v>#N/A</v>
      </c>
      <c r="J2535" s="460" t="e">
        <v>#N/A</v>
      </c>
      <c r="K2535" s="460" t="e">
        <v>#N/A</v>
      </c>
      <c r="L2535" s="459" t="e">
        <v>#N/A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 tor dolny 3,6m srebrny (22/1)</v>
      </c>
      <c r="C2536" s="185">
        <f t="shared" si="79"/>
        <v>92.052850000000007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8533.3989999999994</v>
      </c>
      <c r="L2536" s="459" t="s">
        <v>540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 kątownik 1,8m srebrny (22/1)</v>
      </c>
      <c r="C2537" s="185" t="e">
        <f t="shared" si="79"/>
        <v>#N/A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 t="e">
        <v>#N/A</v>
      </c>
      <c r="I2537" s="460" t="e">
        <v>#N/A</v>
      </c>
      <c r="J2537" s="460" t="e">
        <v>#N/A</v>
      </c>
      <c r="K2537" s="460" t="e">
        <v>#N/A</v>
      </c>
      <c r="L2537" s="459" t="e">
        <v>#N/A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kątownik  2,7m srebrny (22/1)</v>
      </c>
      <c r="C2538" s="185">
        <f t="shared" si="79"/>
        <v>34.024070000000002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3064.8121299999998</v>
      </c>
      <c r="L2538" s="459" t="s">
        <v>540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 kątownik  3,6m srebrny (22/1)</v>
      </c>
      <c r="C2539" s="185" t="e">
        <f t="shared" si="79"/>
        <v>#N/A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 t="e">
        <v>#N/A</v>
      </c>
      <c r="I2539" s="460" t="e">
        <v>#N/A</v>
      </c>
      <c r="J2539" s="460" t="e">
        <v>#N/A</v>
      </c>
      <c r="K2539" s="460" t="e">
        <v>#N/A</v>
      </c>
      <c r="L2539" s="459" t="e">
        <v>#N/A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łacznik H08 profil 3m srebrny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wkręt 2,5x18mm</v>
      </c>
      <c r="C2541" s="185">
        <f t="shared" si="79"/>
        <v>0.10996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11.584149999999999</v>
      </c>
      <c r="L2541" s="459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ZR18 zestaw do drzwi rozwieranych</v>
      </c>
      <c r="C2542" s="185">
        <f t="shared" si="79"/>
        <v>99.2256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10947.188889999999</v>
      </c>
      <c r="L2542" s="459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Prowadnica alum. HERKULES 2 2,4 m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Złączki do 2 skrz.SYMETRIC-mechanizm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Prowadnica alumin.HERKULES 2 3 m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First tor górny / dolny 1,8m srebrny</v>
      </c>
      <c r="C2546" s="185">
        <f t="shared" si="79"/>
        <v>29.631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3054.79655</v>
      </c>
      <c r="L2546" s="459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Single tor górny 1,7m jasny brąz</v>
      </c>
      <c r="C2547" s="185">
        <f t="shared" si="79"/>
        <v>62.236049999999999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6883.3569299999999</v>
      </c>
      <c r="L2547" s="459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horní vedení 1,7m stříbrná</v>
      </c>
      <c r="C2548" s="185">
        <f t="shared" si="79"/>
        <v>51.049550000000004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5646.1202800000001</v>
      </c>
      <c r="L2548" s="459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Single tor górny 2,35m jasny brąz</v>
      </c>
      <c r="C2549" s="185">
        <f t="shared" si="79"/>
        <v>85.940809999999999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9505.12068</v>
      </c>
      <c r="L2549" s="459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horní vedení 2,35m stříbrná</v>
      </c>
      <c r="C2550" s="185">
        <f t="shared" si="79"/>
        <v>70.492769999999993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7796.5558300000002</v>
      </c>
      <c r="L2550" s="459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Single tor górny 3m jasny brąz</v>
      </c>
      <c r="C2551" s="185">
        <f t="shared" si="79"/>
        <v>109.73432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12136.70363</v>
      </c>
      <c r="L2551" s="459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horní vedení 3m stříbrná</v>
      </c>
      <c r="C2552" s="185">
        <f t="shared" si="79"/>
        <v>90.113560000000007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9966.6297300000006</v>
      </c>
      <c r="L2552" s="459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ZR10 zestaw do drzwi rozwieranych</v>
      </c>
      <c r="C2553" s="185">
        <f t="shared" si="79"/>
        <v>72.572999999999993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8012.5811299999996</v>
      </c>
      <c r="L2553" s="459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Smart tor dolny 1,7m jasny brąz</v>
      </c>
      <c r="C2554" s="185">
        <f t="shared" si="79"/>
        <v>16.360800000000001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1822.8623</v>
      </c>
      <c r="L2554" s="459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01135 Smart tor dolny 1,7 m, srebrny</v>
      </c>
      <c r="C2555" s="185">
        <f t="shared" si="79"/>
        <v>14.2188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1502.35897</v>
      </c>
      <c r="L2555" s="459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Smart tor dolny 2,35m jasny brąz</v>
      </c>
      <c r="C2556" s="185">
        <f t="shared" si="79"/>
        <v>22.613399999999999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2513.9471800000001</v>
      </c>
      <c r="L2556" s="459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Smart tor dolny 2,35m srebrny</v>
      </c>
      <c r="C2557" s="185">
        <f t="shared" si="79"/>
        <v>19.6554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2063.2394800000002</v>
      </c>
      <c r="L2557" s="459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Smart tor dolny 3m jasny brąz</v>
      </c>
      <c r="C2558" s="185">
        <f t="shared" si="79"/>
        <v>28.855799999999999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3195.0168899999999</v>
      </c>
      <c r="L2558" s="459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Smart tor dolny 3m srebrny</v>
      </c>
      <c r="C2559" s="185">
        <f t="shared" si="79"/>
        <v>25.1022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2614.1044200000001</v>
      </c>
      <c r="L2559" s="459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Elegant II tor dolny 1,7m złoty</v>
      </c>
      <c r="C2560" s="185">
        <f t="shared" si="79"/>
        <v>39.086399999999998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4006.2905700000001</v>
      </c>
      <c r="L2560" s="459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Elegant II tor dolny 1,7m srebrny</v>
      </c>
      <c r="C2561" s="185">
        <f t="shared" si="79"/>
        <v>31.293600000000001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3205.0324500000002</v>
      </c>
      <c r="L2561" s="459" t="s">
        <v>538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Elegant II tor dolny 2,35m złoty</v>
      </c>
      <c r="C2562" s="185">
        <f t="shared" si="79"/>
        <v>53.968200000000003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5528.6810599999999</v>
      </c>
      <c r="L2562" s="459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Elegant II tor dolny 2,35m jasny brąz</v>
      </c>
      <c r="C2563" s="185">
        <f t="shared" si="79"/>
        <v>53.968200000000003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5528.6810599999999</v>
      </c>
      <c r="L2563" s="459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Elegant II tor dolny 2,35m srebrny</v>
      </c>
      <c r="C2564" s="185">
        <f t="shared" ref="C2564:C2627" si="81">IF($A$2=1,H2564,IF($A$2=2,I2564,IF($A$2=3,J2564,IF($A$2=4,K2564,IF($A$2&gt;4,O2564,"zadat jazyk")))))</f>
        <v>43.278599999999997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4416.9351999999999</v>
      </c>
      <c r="L2564" s="459" t="s">
        <v>538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Elegant II tor dolny 3m złoty</v>
      </c>
      <c r="C2565" s="185">
        <f t="shared" si="81"/>
        <v>0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0</v>
      </c>
      <c r="I2565" s="460">
        <v>0</v>
      </c>
      <c r="J2565" s="460">
        <v>0</v>
      </c>
      <c r="K2565" s="460">
        <v>0</v>
      </c>
      <c r="L2565" s="459" t="s">
        <v>540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Elegant II tor dolny 3m jasny brąz</v>
      </c>
      <c r="C2566" s="185">
        <f t="shared" si="81"/>
        <v>68.931600000000003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7061.0871100000004</v>
      </c>
      <c r="L2566" s="459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Elegant II tor dolny 3m srebrny</v>
      </c>
      <c r="C2567" s="185">
        <f t="shared" si="81"/>
        <v>55.212600000000002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5608.8068000000003</v>
      </c>
      <c r="L2567" s="459" t="s">
        <v>538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Elegant II tor dolny 4,05m złoty</v>
      </c>
      <c r="C2568" s="185" t="e">
        <f t="shared" si="81"/>
        <v>#N/A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 t="e">
        <v>#N/A</v>
      </c>
      <c r="I2568" s="460" t="e">
        <v>#N/A</v>
      </c>
      <c r="J2568" s="460" t="e">
        <v>#N/A</v>
      </c>
      <c r="K2568" s="460" t="e">
        <v>#N/A</v>
      </c>
      <c r="L2568" s="459" t="e">
        <v>#N/A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Elegant II tor dolny 4,05m jasny brąz</v>
      </c>
      <c r="C2569" s="185">
        <f t="shared" si="81"/>
        <v>93.075000000000003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9534.97163</v>
      </c>
      <c r="L2569" s="459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Elegant II tor dolny 4,05m srebrny</v>
      </c>
      <c r="C2570" s="185">
        <f t="shared" si="81"/>
        <v>74.572199999999995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7601.9364999999998</v>
      </c>
      <c r="L2570" s="459" t="s">
        <v>538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profil "U" do płyty laminowanej 16mm 3m jasny brąz</v>
      </c>
      <c r="C2571" s="185">
        <f t="shared" si="81"/>
        <v>25.950690000000002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2904.5606699999998</v>
      </c>
      <c r="L2571" s="459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wózek górny 10mm asymetryczny L+P</v>
      </c>
      <c r="C2572" s="185">
        <f t="shared" si="81"/>
        <v>27.305399999999999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2204.04898</v>
      </c>
      <c r="L2572" s="459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pozycjoner wózka dolnego HI-TEC</v>
      </c>
      <c r="C2573" s="185">
        <f t="shared" si="81"/>
        <v>1.071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123.01676</v>
      </c>
      <c r="L2573" s="459" t="s">
        <v>538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Smart wózek górny</v>
      </c>
      <c r="C2574" s="185">
        <f t="shared" si="81"/>
        <v>6.7144500000000003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625.33465000000001</v>
      </c>
      <c r="L2574" s="459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Smart wózek dolny</v>
      </c>
      <c r="C2575" s="185">
        <f t="shared" si="81"/>
        <v>6.7144500000000003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625.33465000000001</v>
      </c>
      <c r="L2575" s="459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Gemini II tor dolny 1,7m srebrny</v>
      </c>
      <c r="C2576" s="185">
        <f t="shared" si="81"/>
        <v>32.4831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3114.8907599999998</v>
      </c>
      <c r="L2576" s="459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Gemini II tor dolny 3m srebrny</v>
      </c>
      <c r="C2577" s="185">
        <f t="shared" si="81"/>
        <v>52.749690000000001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5498.6339500000004</v>
      </c>
      <c r="L2577" s="459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Exclusive tor górny 1,8m srebrny</v>
      </c>
      <c r="C2578" s="185" t="e">
        <f t="shared" si="81"/>
        <v>#N/A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 t="e">
        <v>#N/A</v>
      </c>
      <c r="I2578" s="460" t="e">
        <v>#N/A</v>
      </c>
      <c r="J2578" s="460" t="e">
        <v>#N/A</v>
      </c>
      <c r="K2578" s="460" t="e">
        <v>#N/A</v>
      </c>
      <c r="L2578" s="459" t="e">
        <v>#N/A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MDF profil wkładka 2,8m</v>
      </c>
      <c r="C2579" s="185" t="e">
        <f t="shared" si="81"/>
        <v>#N/A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 t="e">
        <v>#N/A</v>
      </c>
      <c r="I2579" s="460" t="e">
        <v>#N/A</v>
      </c>
      <c r="J2579" s="460" t="e">
        <v>#N/A</v>
      </c>
      <c r="K2579" s="460" t="e">
        <v>#N/A</v>
      </c>
      <c r="L2579" s="459" t="e">
        <v>#N/A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First tor górny / dolny 1,2m srebrny</v>
      </c>
      <c r="C2580" s="185" t="e">
        <f t="shared" si="81"/>
        <v>#N/A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 t="e">
        <v>#N/A</v>
      </c>
      <c r="I2580" s="460" t="e">
        <v>#N/A</v>
      </c>
      <c r="J2580" s="460" t="e">
        <v>#N/A</v>
      </c>
      <c r="K2580" s="460" t="e">
        <v>#N/A</v>
      </c>
      <c r="L2580" s="459" t="e">
        <v>#N/A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zestaw okuć ZPE-10 II</v>
      </c>
      <c r="C2581" s="185">
        <f t="shared" si="81"/>
        <v>135.56983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14994.13168</v>
      </c>
      <c r="L2581" s="459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Exclusive odbojnik gumowy górny</v>
      </c>
      <c r="C2582" s="185" t="e">
        <f t="shared" si="81"/>
        <v>#N/A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 t="e">
        <v>#N/A</v>
      </c>
      <c r="I2582" s="460" t="e">
        <v>#N/A</v>
      </c>
      <c r="J2582" s="460" t="e">
        <v>#N/A</v>
      </c>
      <c r="K2582" s="460" t="e">
        <v>#N/A</v>
      </c>
      <c r="L2582" s="459" t="e">
        <v>#N/A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Exclusive odbojnik kulisty</v>
      </c>
      <c r="C2583" s="185">
        <f t="shared" si="81"/>
        <v>3.99519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441.87027999999998</v>
      </c>
      <c r="L2583" s="459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Future wózek górny 10mm L+P</v>
      </c>
      <c r="C2584" s="185">
        <f t="shared" si="81"/>
        <v>25.245000000000001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2726.8697200000001</v>
      </c>
      <c r="L2584" s="459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First tor górny / dolny 1,2m jasny brąz</v>
      </c>
      <c r="C2585" s="185" t="e">
        <f t="shared" si="81"/>
        <v>#N/A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 t="e">
        <v>#N/A</v>
      </c>
      <c r="I2585" s="460" t="e">
        <v>#N/A</v>
      </c>
      <c r="J2585" s="460" t="e">
        <v>#N/A</v>
      </c>
      <c r="K2585" s="460" t="e">
        <v>#N/A</v>
      </c>
      <c r="L2585" s="459" t="e">
        <v>#N/A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uszczelka bezbarwna 18/4-4,5 mm asymetryczna</v>
      </c>
      <c r="C2586" s="185" t="e">
        <f t="shared" si="81"/>
        <v>#N/A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 t="e">
        <v>#N/A</v>
      </c>
      <c r="I2586" s="460" t="e">
        <v>#N/A</v>
      </c>
      <c r="J2586" s="460" t="e">
        <v>#N/A</v>
      </c>
      <c r="K2586" s="460">
        <v>908.27302999999995</v>
      </c>
      <c r="L2586" s="459" t="e">
        <v>#N/A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Maxim, zestaw okuć dla 2 drzwi, 1,8 m, srebrny</v>
      </c>
      <c r="C2587" s="185">
        <f t="shared" si="81"/>
        <v>107.06509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Maxim listwa łącząca H25 1,8m srebrny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Fox II rączka 2,7 m, srebrna</v>
      </c>
      <c r="C2589" s="185">
        <f t="shared" si="81"/>
        <v>61.863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6460.1435300000003</v>
      </c>
      <c r="L2589" s="459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Prince zestaw okuć do drzwi składanych 1200mm srebrny</v>
      </c>
      <c r="C2590" s="185" t="e">
        <f t="shared" si="81"/>
        <v>#N/A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 t="e">
        <v>#N/A</v>
      </c>
      <c r="I2590" s="460" t="e">
        <v>#N/A</v>
      </c>
      <c r="J2590" s="460" t="e">
        <v>#N/A</v>
      </c>
      <c r="K2590" s="460" t="e">
        <v>#N/A</v>
      </c>
      <c r="L2590" s="459" t="e">
        <v>#N/A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Gemini II tor dolny 2,35m srebrny</v>
      </c>
      <c r="C2591" s="185">
        <f t="shared" si="81"/>
        <v>41.34393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4306.7623700000004</v>
      </c>
      <c r="L2591" s="459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Gemini II tor dolny 4,05m srebrny</v>
      </c>
      <c r="C2592" s="185">
        <f t="shared" si="81"/>
        <v>71.187690000000003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7421.6531100000002</v>
      </c>
      <c r="L2592" s="459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wózek dolny WD 18C HI-TEC</v>
      </c>
      <c r="C2593" s="185" t="e">
        <f t="shared" si="81"/>
        <v>#N/A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 t="e">
        <v>#N/A</v>
      </c>
      <c r="I2593" s="460" t="e">
        <v>#N/A</v>
      </c>
      <c r="J2593" s="460" t="e">
        <v>#N/A</v>
      </c>
      <c r="K2593" s="460" t="e">
        <v>#N/A</v>
      </c>
      <c r="L2593" s="459" t="e">
        <v>#N/A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Prince 01 rączka 2,7m srebrny</v>
      </c>
      <c r="C2594" s="185" t="e">
        <f t="shared" si="81"/>
        <v>#N/A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 t="e">
        <v>#N/A</v>
      </c>
      <c r="I2594" s="460" t="e">
        <v>#N/A</v>
      </c>
      <c r="J2594" s="460" t="e">
        <v>#N/A</v>
      </c>
      <c r="K2594" s="460" t="e">
        <v>#N/A</v>
      </c>
      <c r="L2594" s="459" t="e">
        <v>#N/A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Micra C zestaw okuć dla 1 skrzydła</v>
      </c>
      <c r="C2595" s="185">
        <f t="shared" si="81"/>
        <v>25.214400000000001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2443.8374100000001</v>
      </c>
      <c r="L2595" s="459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szczotka odbojowa zasuwana 14,5x4 mm</v>
      </c>
      <c r="C2596" s="185">
        <f t="shared" si="81"/>
        <v>1.224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97.2</v>
      </c>
      <c r="L2596" s="459" t="s">
        <v>538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Gemini-2 rączka 2,7m srebrny</v>
      </c>
      <c r="C2597" s="185">
        <f t="shared" si="81"/>
        <v>78.988799999999998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7271.4172099999996</v>
      </c>
      <c r="L2597" s="459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Gemini-2 rączka 2,7m jasny brąz</v>
      </c>
      <c r="C2598" s="185">
        <f t="shared" si="81"/>
        <v>86.852999999999994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9094.2795100000003</v>
      </c>
      <c r="L2598" s="459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Gemini-2 rączka 2,7m złoty</v>
      </c>
      <c r="C2599" s="185" t="e">
        <f t="shared" si="81"/>
        <v>#N/A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 t="e">
        <v>#N/A</v>
      </c>
      <c r="I2599" s="460" t="e">
        <v>#N/A</v>
      </c>
      <c r="J2599" s="460" t="e">
        <v>#N/A</v>
      </c>
      <c r="K2599" s="460" t="e">
        <v>#N/A</v>
      </c>
      <c r="L2599" s="459" t="e">
        <v>#N/A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System 10 II rączka 2,7 m, srebrna</v>
      </c>
      <c r="C2600" s="185">
        <f t="shared" si="81"/>
        <v>76.000200000000007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7271.4172099999996</v>
      </c>
      <c r="L2600" s="459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System 10 II rączka 2,7 m, oliwka</v>
      </c>
      <c r="C2601" s="185">
        <f t="shared" si="81"/>
        <v>82.701599999999999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9054.2168399999991</v>
      </c>
      <c r="L2601" s="459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System 10 II rączka 2,7m złoty</v>
      </c>
      <c r="C2602" s="185">
        <f t="shared" si="81"/>
        <v>82.701599999999999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9054.2168399999991</v>
      </c>
      <c r="L2602" s="459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Fox II rączka 2,7 m, oliwka</v>
      </c>
      <c r="C2603" s="185">
        <f t="shared" si="81"/>
        <v>71.498620000000003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8002.5655800000004</v>
      </c>
      <c r="L2603" s="459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Fox II rączka 2,7m złoty</v>
      </c>
      <c r="C2604" s="185">
        <f t="shared" si="81"/>
        <v>71.498620000000003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8002.5655800000004</v>
      </c>
      <c r="L2604" s="459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Fox II rączka 2,7 m, oliwka szczotkowana</v>
      </c>
      <c r="C2605" s="185">
        <f t="shared" si="81"/>
        <v>90.198599999999999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9685.2075299999997</v>
      </c>
      <c r="L2605" s="459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Everest tor 3 m, srebrny</v>
      </c>
      <c r="C2606" s="185">
        <f t="shared" si="81"/>
        <v>89.321399999999997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9855.4749599999996</v>
      </c>
      <c r="L2606" s="459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Everest wózek do skrzydła skośnego - 2 szt.</v>
      </c>
      <c r="C2607" s="185">
        <f t="shared" si="81"/>
        <v>67.640100000000004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7955.0789299999997</v>
      </c>
      <c r="L2607" s="459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Exclusive tor górny 3m srebrny</v>
      </c>
      <c r="C2608" s="185">
        <f t="shared" si="81"/>
        <v>111.06605999999999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12283.993700000001</v>
      </c>
      <c r="L2608" s="459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Comfort tor górny 4,05m srebrny</v>
      </c>
      <c r="C2609" s="185">
        <f t="shared" si="81"/>
        <v>257.95800000000003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27563.279180000001</v>
      </c>
      <c r="L2609" s="459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Comfort tor dolny 4,05m srebrny</v>
      </c>
      <c r="C2610" s="185" t="e">
        <f t="shared" si="81"/>
        <v>#N/A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 t="e">
        <v>#N/A</v>
      </c>
      <c r="I2610" s="460" t="e">
        <v>#N/A</v>
      </c>
      <c r="J2610" s="460" t="e">
        <v>#N/A</v>
      </c>
      <c r="K2610" s="460" t="e">
        <v>#N/A</v>
      </c>
      <c r="L2610" s="459" t="e">
        <v>#N/A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Comfort wózek górny 18mm - 2szt</v>
      </c>
      <c r="C2611" s="185">
        <f t="shared" si="81"/>
        <v>25.245000000000001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2839.63526</v>
      </c>
      <c r="L2611" s="459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Doubler II tor dolny 4,05m srebrny</v>
      </c>
      <c r="C2612" s="185">
        <f t="shared" si="81"/>
        <v>127.0206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13280.853059999999</v>
      </c>
      <c r="L2612" s="459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Comfort tor górny 1,7m srebrny</v>
      </c>
      <c r="C2613" s="185">
        <f t="shared" si="81"/>
        <v>108.3036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11578.17958</v>
      </c>
      <c r="L2613" s="459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Comfort tor górny 1,7m jasny brąz</v>
      </c>
      <c r="C2614" s="185">
        <f t="shared" si="81"/>
        <v>129.12701999999999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14452.693139999999</v>
      </c>
      <c r="L2614" s="459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Comfort tor górny 2,35m jasny brąz</v>
      </c>
      <c r="C2615" s="185">
        <f t="shared" si="81"/>
        <v>178.52282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19981.374199999998</v>
      </c>
      <c r="L2615" s="459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Comfort tor górny 3m jasny brąz</v>
      </c>
      <c r="C2616" s="185">
        <f t="shared" si="81"/>
        <v>227.9186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25510.055260000001</v>
      </c>
      <c r="L2616" s="459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Comfort tor górny 4,05m jasny brąz</v>
      </c>
      <c r="C2617" s="185">
        <f t="shared" si="81"/>
        <v>307.64983999999998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34434.067340000001</v>
      </c>
      <c r="L2617" s="459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Maxim zestaw okuć dla 3 drzwi 2,5 m, srebrny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Master rączka 2,7m srebrna</v>
      </c>
      <c r="C2619" s="185">
        <f t="shared" si="81"/>
        <v>90.78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9705.2390599999999</v>
      </c>
      <c r="L2619" s="459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Master rączka 2,7m jasny brąz</v>
      </c>
      <c r="C2620" s="185">
        <f t="shared" si="81"/>
        <v>108.36648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12129.044529999999</v>
      </c>
      <c r="L2620" s="459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02379 Master rączka 3m srebrna</v>
      </c>
      <c r="C2621" s="185">
        <f t="shared" si="81"/>
        <v>100.85760000000001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10786.93743</v>
      </c>
      <c r="L2621" s="459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Master rączka 3 m jasny brąz</v>
      </c>
      <c r="C2622" s="185">
        <f t="shared" si="81"/>
        <v>120.44696999999999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13481.167589999999</v>
      </c>
      <c r="L2622" s="459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 02021 Maxim tor 1,8 m srebrny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02022 Maxim tor 2,5 m, srebrny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02301 Maxim tor 3,5 m, srebrny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Maxim tor 4,3 m, srebrny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maskownica dolna 1,8 m, 18 mm, srebrna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02809 Maxim maskownica dolna 2,5 m, 18mm srebrna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02811 Maxim maskownica dolna 3,5 m, 18mm  srebrna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02801 Maxim maskownica dolna 4,3 m, 18mm  srebrna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SEVROLL01884 Maxim listwa łącząca H25 2,5 m, srebrna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Maxim listwa łącząca H18 1,8 m srebrna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listwa łącząca H18 2,5 m, srebrna</v>
      </c>
      <c r="C2633" s="185" t="e">
        <f t="shared" si="83"/>
        <v>#N/A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 t="e">
        <v>#N/A</v>
      </c>
      <c r="I2633" s="460" t="e">
        <v>#N/A</v>
      </c>
      <c r="J2633" s="460" t="e">
        <v>#N/A</v>
      </c>
      <c r="K2633" s="460" t="e">
        <v>#N/A</v>
      </c>
      <c r="L2633" s="459" t="e">
        <v>#N/A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Maxim tor górny 1,8 m srebrny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02024 Maxim tor górny 2,5 m, srebrny</v>
      </c>
      <c r="C2635" s="185">
        <f t="shared" si="83"/>
        <v>101.0287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11307.755289999999</v>
      </c>
      <c r="L2635" s="459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tor górny 3,5 m, srebrny</v>
      </c>
      <c r="C2636" s="185" t="e">
        <f t="shared" si="83"/>
        <v>#N/A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 t="e">
        <v>#N/A</v>
      </c>
      <c r="I2636" s="460" t="e">
        <v>#N/A</v>
      </c>
      <c r="J2636" s="460" t="e">
        <v>#N/A</v>
      </c>
      <c r="K2636" s="460" t="e">
        <v>#N/A</v>
      </c>
      <c r="L2636" s="459" t="e">
        <v>#N/A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tor górny 4,3 m, srebrny</v>
      </c>
      <c r="C2637" s="185" t="e">
        <f t="shared" si="83"/>
        <v>#N/A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 t="e">
        <v>#N/A</v>
      </c>
      <c r="I2637" s="460" t="e">
        <v>#N/A</v>
      </c>
      <c r="J2637" s="460" t="e">
        <v>#N/A</v>
      </c>
      <c r="K2637" s="460" t="e">
        <v>#N/A</v>
      </c>
      <c r="L2637" s="459" t="e">
        <v>#N/A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górna listwa prowadząca 1,7m jasny brąz szczotkowany</v>
      </c>
      <c r="C2638" s="185">
        <f t="shared" si="83"/>
        <v>63.382800000000003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5047.9262699999999</v>
      </c>
      <c r="L2638" s="459" t="s">
        <v>539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górna listwa prowadząca 2,35m  jasny brąz szczotkowany</v>
      </c>
      <c r="C2639" s="185">
        <f t="shared" si="83"/>
        <v>87.638400000000004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7000.9929199999997</v>
      </c>
      <c r="L2639" s="459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górna listwa prowadząca 3m  jasny brąz szczotkowany</v>
      </c>
      <c r="C2640" s="185">
        <f t="shared" si="83"/>
        <v>111.41459999999999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8924.0120800000004</v>
      </c>
      <c r="L2640" s="459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dolna listwa maskująca 1,7 m 10 mm, jasny brąz szczotkowany</v>
      </c>
      <c r="C2641" s="185">
        <f t="shared" si="83"/>
        <v>76.599260000000001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8573.4616399999995</v>
      </c>
      <c r="L2641" s="459" t="s">
        <v>539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dolna listwa maskująca 2,35 m 10 mm, jasny brąz szczotkowany</v>
      </c>
      <c r="C2642" s="185">
        <f t="shared" si="83"/>
        <v>106.03986999999999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11868.6358</v>
      </c>
      <c r="L2642" s="459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dolna listwa maskująca 3 m 10 mm, jasny brąz szczotkowany</v>
      </c>
      <c r="C2643" s="185">
        <f t="shared" si="83"/>
        <v>135.48047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15163.809960000001</v>
      </c>
      <c r="L2643" s="459" t="s">
        <v>539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tor górny 1,7 m, jasny brąz szczotkowany</v>
      </c>
      <c r="C2644" s="185">
        <f t="shared" si="83"/>
        <v>84.170400000000001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9364.7042000000001</v>
      </c>
      <c r="L2644" s="459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Exclusive tor górny 3m jasny brąz</v>
      </c>
      <c r="C2645" s="185">
        <f t="shared" si="83"/>
        <v>134.77080000000001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14905.75748</v>
      </c>
      <c r="L2645" s="459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tor górny 2,35 m, jasny brąz szczotkowany</v>
      </c>
      <c r="C2646" s="185">
        <f t="shared" si="83"/>
        <v>116.5962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12940.31861</v>
      </c>
      <c r="L2646" s="459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tor górny 3 m, jasny brąz szczotkowany</v>
      </c>
      <c r="C2647" s="185">
        <f t="shared" si="83"/>
        <v>148.83840000000001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16515.93302</v>
      </c>
      <c r="L2647" s="459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02500-Y Gemini tor górny 4,05 m, jasny brąz szczotkowany</v>
      </c>
      <c r="C2648" s="185">
        <f t="shared" si="83"/>
        <v>200.9196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22295.006850000002</v>
      </c>
      <c r="L2648" s="459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tor dolny 1,7 m, jasny brąz szczotkowany</v>
      </c>
      <c r="C2649" s="185">
        <f t="shared" si="83"/>
        <v>55.386000000000003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5979.3887400000003</v>
      </c>
      <c r="L2649" s="459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tor dolny 2,35 m, jasny brąz szczotkowany</v>
      </c>
      <c r="C2650" s="185">
        <f t="shared" si="83"/>
        <v>76.367400000000004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8262.9742999999999</v>
      </c>
      <c r="L2650" s="459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tor dolny 3 m, jasny brąz szczotkowany</v>
      </c>
      <c r="C2651" s="185">
        <f t="shared" si="83"/>
        <v>97.675200000000004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10546.55984</v>
      </c>
      <c r="L2651" s="459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tor dolny 4,05 m, jasny brąz szczotkowany</v>
      </c>
      <c r="C2652" s="185">
        <f t="shared" si="83"/>
        <v>131.8554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14242.36305</v>
      </c>
      <c r="L2652" s="459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Listwa łącząca H10 3m jasny brąz szczotkowany</v>
      </c>
      <c r="C2653" s="185">
        <f t="shared" si="83"/>
        <v>74.362139999999997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8323.0684999999994</v>
      </c>
      <c r="L2653" s="459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zestaw okuć ZSE-10</v>
      </c>
      <c r="C2654" s="185" t="e">
        <f t="shared" si="83"/>
        <v>#N/A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 t="e">
        <v>#N/A</v>
      </c>
      <c r="I2654" s="460" t="e">
        <v>#N/A</v>
      </c>
      <c r="J2654" s="460" t="e">
        <v>#N/A</v>
      </c>
      <c r="K2654" s="460" t="e">
        <v>#N/A</v>
      </c>
      <c r="L2654" s="459" t="e">
        <v>#N/A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Exclusive tor górny 1,2m srebrny</v>
      </c>
      <c r="C2655" s="185" t="e">
        <f t="shared" si="83"/>
        <v>#N/A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 t="e">
        <v>#N/A</v>
      </c>
      <c r="I2655" s="460" t="e">
        <v>#N/A</v>
      </c>
      <c r="J2655" s="460" t="e">
        <v>#N/A</v>
      </c>
      <c r="K2655" s="460" t="e">
        <v>#N/A</v>
      </c>
      <c r="L2655" s="459" t="e">
        <v>#N/A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wiertło stopniowe 6,5/9,5mm</v>
      </c>
      <c r="C2656" s="185">
        <f t="shared" si="83"/>
        <v>116.85122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element montażowy do płyty laminowanej 10mm duży</v>
      </c>
      <c r="C2657" s="185">
        <f t="shared" si="83"/>
        <v>506.41131999999999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element montażowy do płyty laminowanej 10mm mały</v>
      </c>
      <c r="C2658" s="185">
        <f t="shared" si="83"/>
        <v>51.590769999999999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276.76895000000002</v>
      </c>
      <c r="I2658" s="460">
        <v>12.06592</v>
      </c>
      <c r="J2658" s="460">
        <v>51.590769999999999</v>
      </c>
      <c r="K2658" s="460">
        <v>4493.0024999999996</v>
      </c>
      <c r="L2658" s="459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Prince 02 rączka 2,7m srebrny</v>
      </c>
      <c r="C2659" s="185" t="e">
        <f t="shared" si="83"/>
        <v>#N/A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 t="e">
        <v>#N/A</v>
      </c>
      <c r="I2659" s="460" t="e">
        <v>#N/A</v>
      </c>
      <c r="J2659" s="460" t="e">
        <v>#N/A</v>
      </c>
      <c r="K2659" s="460" t="e">
        <v>#N/A</v>
      </c>
      <c r="L2659" s="459" t="e">
        <v>#N/A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listwa łącząca T04 3m srebrny</v>
      </c>
      <c r="C2660" s="185">
        <f t="shared" si="83"/>
        <v>24.697890000000001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2764.34033</v>
      </c>
      <c r="L2660" s="459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Listwa łącząca H04/18 3m, jasny brąz</v>
      </c>
      <c r="C2661" s="185">
        <f t="shared" si="83"/>
        <v>35.704569999999997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3996.2750099999998</v>
      </c>
      <c r="L2661" s="459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Comfort tor dolny 1,7m srebrny</v>
      </c>
      <c r="C2662" s="185" t="e">
        <f t="shared" si="83"/>
        <v>#N/A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 t="e">
        <v>#N/A</v>
      </c>
      <c r="I2662" s="460" t="e">
        <v>#N/A</v>
      </c>
      <c r="J2662" s="460" t="e">
        <v>#N/A</v>
      </c>
      <c r="K2662" s="460" t="e">
        <v>#N/A</v>
      </c>
      <c r="L2662" s="459" t="e">
        <v>#N/A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uszczelka do szkła 10,1/8mm</v>
      </c>
      <c r="C2663" s="185">
        <f t="shared" si="83"/>
        <v>2.7501000000000002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317.79295000000002</v>
      </c>
      <c r="L2663" s="459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wózek dolny WD10 V Duo 60kg</v>
      </c>
      <c r="C2664" s="185" t="e">
        <f t="shared" si="83"/>
        <v>#N/A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 t="e">
        <v>#N/A</v>
      </c>
      <c r="I2664" s="460" t="e">
        <v>#N/A</v>
      </c>
      <c r="J2664" s="460" t="e">
        <v>#N/A</v>
      </c>
      <c r="K2664" s="460" t="e">
        <v>#N/A</v>
      </c>
      <c r="L2664" s="459" t="e">
        <v>#N/A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Wilson mocowanie drążka</v>
      </c>
      <c r="C2665" s="185" t="e">
        <f t="shared" si="83"/>
        <v>#N/A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 t="e">
        <v>#N/A</v>
      </c>
      <c r="I2665" s="460" t="e">
        <v>#N/A</v>
      </c>
      <c r="J2665" s="460" t="e">
        <v>#N/A</v>
      </c>
      <c r="K2665" s="460" t="e">
        <v>#N/A</v>
      </c>
      <c r="L2665" s="459" t="e">
        <v>#N/A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Wilson wspornik 2108mm srebrny</v>
      </c>
      <c r="C2666" s="185" t="e">
        <f t="shared" si="83"/>
        <v>#N/A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 t="e">
        <v>#N/A</v>
      </c>
      <c r="I2666" s="460" t="e">
        <v>#N/A</v>
      </c>
      <c r="J2666" s="460" t="e">
        <v>#N/A</v>
      </c>
      <c r="K2666" s="460" t="e">
        <v>#N/A</v>
      </c>
      <c r="L2666" s="459" t="e">
        <v>#N/A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Wilson wspornik 300mm srebrny</v>
      </c>
      <c r="C2667" s="185" t="e">
        <f t="shared" si="83"/>
        <v>#N/A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 t="e">
        <v>#N/A</v>
      </c>
      <c r="I2667" s="460" t="e">
        <v>#N/A</v>
      </c>
      <c r="J2667" s="460" t="e">
        <v>#N/A</v>
      </c>
      <c r="K2667" s="460" t="e">
        <v>#N/A</v>
      </c>
      <c r="L2667" s="459" t="e">
        <v>#N/A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Wilson wspornik 500mm srebrny</v>
      </c>
      <c r="C2668" s="185" t="e">
        <f t="shared" si="83"/>
        <v>#N/A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 t="e">
        <v>#N/A</v>
      </c>
      <c r="I2668" s="460" t="e">
        <v>#N/A</v>
      </c>
      <c r="J2668" s="460" t="e">
        <v>#N/A</v>
      </c>
      <c r="K2668" s="460" t="e">
        <v>#N/A</v>
      </c>
      <c r="L2668" s="459" t="e">
        <v>#N/A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Wilson drążek, średnica 25mm 1,2m srebrny</v>
      </c>
      <c r="C2669" s="185" t="e">
        <f t="shared" si="83"/>
        <v>#N/A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 t="e">
        <v>#N/A</v>
      </c>
      <c r="I2669" s="460" t="e">
        <v>#N/A</v>
      </c>
      <c r="J2669" s="460" t="e">
        <v>#N/A</v>
      </c>
      <c r="K2669" s="460" t="e">
        <v>#N/A</v>
      </c>
      <c r="L2669" s="459" t="e">
        <v>#N/A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 Wilson klips montażowy srebrny</v>
      </c>
      <c r="C2670" s="185" t="e">
        <f t="shared" si="83"/>
        <v>#N/A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 t="e">
        <v>#N/A</v>
      </c>
      <c r="I2670" s="460" t="e">
        <v>#N/A</v>
      </c>
      <c r="J2670" s="460" t="e">
        <v>#N/A</v>
      </c>
      <c r="K2670" s="460" t="e">
        <v>#N/A</v>
      </c>
      <c r="L2670" s="459" t="e">
        <v>#N/A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Wilson záslepka do drążka</v>
      </c>
      <c r="C2671" s="185">
        <f t="shared" si="83"/>
        <v>4.0144000000000002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471.56380999999999</v>
      </c>
      <c r="L2671" s="459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Szpros S20 3m srebrny</v>
      </c>
      <c r="C2672" s="185">
        <f t="shared" si="83"/>
        <v>21.725999999999999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2393.7587699999999</v>
      </c>
      <c r="L2672" s="459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Ursus tor górny 1,8m surowy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Ursus tor górny 3m surowy</v>
      </c>
      <c r="C2674" s="185" t="e">
        <f t="shared" si="83"/>
        <v>#N/A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 t="e">
        <v>#N/A</v>
      </c>
      <c r="I2674" s="460" t="e">
        <v>#N/A</v>
      </c>
      <c r="J2674" s="460" t="e">
        <v>#N/A</v>
      </c>
      <c r="K2674" s="460" t="e">
        <v>#N/A</v>
      </c>
      <c r="L2674" s="459" t="e">
        <v>#N/A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Ursus zestaw okuć ZP-18 do 1 skrzydła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Gemini tor górny 6m, srebrny</v>
      </c>
      <c r="C2676" s="185">
        <f t="shared" si="83"/>
        <v>0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0</v>
      </c>
      <c r="K2676" s="460">
        <v>19200.14761</v>
      </c>
      <c r="L2676" s="459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Gemini tor górny 6m, jasny brąz</v>
      </c>
      <c r="C2677" s="185">
        <f t="shared" si="83"/>
        <v>0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0</v>
      </c>
      <c r="K2677" s="460">
        <v>24037.743399999999</v>
      </c>
      <c r="L2677" s="459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Gemini tor górny 6m złoty</v>
      </c>
      <c r="C2678" s="185">
        <f t="shared" si="83"/>
        <v>0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1736.99296</v>
      </c>
      <c r="I2678" s="460">
        <v>62.454239999999999</v>
      </c>
      <c r="J2678" s="460">
        <v>0</v>
      </c>
      <c r="K2678" s="460">
        <v>24037.743399999999</v>
      </c>
      <c r="L2678" s="459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Cleft tor dolny 6m srebrny</v>
      </c>
      <c r="C2679" s="185" t="e">
        <f t="shared" si="83"/>
        <v>#N/A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 t="e">
        <v>#N/A</v>
      </c>
      <c r="I2679" s="460" t="e">
        <v>#N/A</v>
      </c>
      <c r="J2679" s="460" t="e">
        <v>#N/A</v>
      </c>
      <c r="K2679" s="460" t="e">
        <v>#N/A</v>
      </c>
      <c r="L2679" s="459" t="e">
        <v>#N/A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zaślepka do toru Cleft 6m srebrny</v>
      </c>
      <c r="C2680" s="185">
        <f t="shared" si="83"/>
        <v>17.19848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Factor 18 II rączka 2,7m srebrny</v>
      </c>
      <c r="C2681" s="185">
        <f t="shared" si="83"/>
        <v>45.462009999999999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4006.2905700000001</v>
      </c>
      <c r="L2681" s="459" t="s">
        <v>538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listwa łącząca H04/18 3m srebrna</v>
      </c>
      <c r="C2682" s="185">
        <f t="shared" si="83"/>
        <v>29.712599999999998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3285.1581900000001</v>
      </c>
      <c r="L2682" s="459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listwa łącząca H08/18 3m jasny brąz</v>
      </c>
      <c r="C2683" s="185">
        <f t="shared" si="83"/>
        <v>37.046849999999999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4146.5108899999996</v>
      </c>
      <c r="L2683" s="459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listwa łącząca H08/18 3m srebrna</v>
      </c>
      <c r="C2684" s="185">
        <f t="shared" si="83"/>
        <v>39.694769999999998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3395.3314300000002</v>
      </c>
      <c r="L2684" s="459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Szpros S20 3m jasny brąz</v>
      </c>
      <c r="C2685" s="185">
        <f t="shared" si="83"/>
        <v>26.219149999999999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2934.6077500000001</v>
      </c>
      <c r="L2685" s="459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02336 Szpros S10 3m oliwka</v>
      </c>
      <c r="C2686" s="185">
        <f t="shared" si="83"/>
        <v>12.0054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1312.05999</v>
      </c>
      <c r="L2686" s="459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Szpros S10 3m oliwka</v>
      </c>
      <c r="C2687" s="185">
        <f t="shared" si="83"/>
        <v>14.675560000000001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1642.5792899999999</v>
      </c>
      <c r="L2687" s="459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uszczelka bezbarwna 10/4,5mm</v>
      </c>
      <c r="C2688" s="185">
        <f t="shared" si="83"/>
        <v>2.7501000000000002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317.79295000000002</v>
      </c>
      <c r="L2688" s="459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rączka 2,7m Oliwka</v>
      </c>
      <c r="C2689" s="185">
        <f t="shared" si="83"/>
        <v>74.899050000000003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8383.1630999999998</v>
      </c>
      <c r="L2689" s="459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Julia II rączka 2,7m srebrna</v>
      </c>
      <c r="C2690" s="185">
        <f t="shared" si="83"/>
        <v>65.637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6710.5366999999997</v>
      </c>
      <c r="L2690" s="459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Julia II rączka 2,7m złoty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Romeo II rączka 2,7m jasny brąz</v>
      </c>
      <c r="C2692" s="185">
        <f t="shared" ref="C2692:C2755" si="85">IF($A$2=1,H2692,IF($A$2=2,I2692,IF($A$2=3,J2692,IF($A$2=4,K2692,IF($A$2&gt;4,O2692,"zadat jazyk")))))</f>
        <v>76.688749999999999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8583.4776099999999</v>
      </c>
      <c r="L2692" s="459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Romeo II rączka 2,7m srebrna</v>
      </c>
      <c r="C2693" s="185">
        <f t="shared" si="85"/>
        <v>65.637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6710.5366999999997</v>
      </c>
      <c r="L2693" s="459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Romeo II rączka 2,7m złoty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Factor 18 II rączka 2,7m jasny brąz</v>
      </c>
      <c r="C2695" s="185">
        <f t="shared" si="85"/>
        <v>43.48977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4867.6428800000003</v>
      </c>
      <c r="L2695" s="459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Factor 18 II rączka 2,7m złoty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Factor 16 II rączka 2,7m jasny brąz</v>
      </c>
      <c r="C2697" s="185" t="e">
        <f t="shared" si="85"/>
        <v>#N/A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 t="e">
        <v>#N/A</v>
      </c>
      <c r="I2697" s="460" t="e">
        <v>#N/A</v>
      </c>
      <c r="J2697" s="460" t="e">
        <v>#N/A</v>
      </c>
      <c r="K2697" s="460" t="e">
        <v>#N/A</v>
      </c>
      <c r="L2697" s="459" t="e">
        <v>#N/A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Factor 16 II rączka 2,7m srebrny</v>
      </c>
      <c r="C2698" s="185" t="e">
        <f t="shared" si="85"/>
        <v>#N/A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 t="e">
        <v>#N/A</v>
      </c>
      <c r="I2698" s="460" t="e">
        <v>#N/A</v>
      </c>
      <c r="J2698" s="460" t="e">
        <v>#N/A</v>
      </c>
      <c r="K2698" s="460" t="e">
        <v>#N/A</v>
      </c>
      <c r="L2698" s="459" t="e">
        <v>#N/A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Victoria II rączka 18mm 2,7m srebrna</v>
      </c>
      <c r="C2699" s="185">
        <f t="shared" si="85"/>
        <v>58.884599999999999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6349.9706999999999</v>
      </c>
      <c r="L2699" s="459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Victoria II rączka 18mm 2,7m jasny brąz</v>
      </c>
      <c r="C2700" s="185">
        <f t="shared" si="85"/>
        <v>70.961690000000004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7942.4709800000001</v>
      </c>
      <c r="L2700" s="459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Victoria II rączka 18mm 2,7m złoty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rączka 2,7m srebrna</v>
      </c>
      <c r="C2702" s="185">
        <f t="shared" si="85"/>
        <v>64.535399999999996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6370.0018499999996</v>
      </c>
      <c r="L2702" s="459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Minicomfort II rączka 2,7m jasny brąz</v>
      </c>
      <c r="C2703" s="185" t="e">
        <f t="shared" si="85"/>
        <v>#N/A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 t="e">
        <v>#N/A</v>
      </c>
      <c r="I2703" s="460" t="e">
        <v>#N/A</v>
      </c>
      <c r="J2703" s="460" t="e">
        <v>#N/A</v>
      </c>
      <c r="K2703" s="460" t="e">
        <v>#N/A</v>
      </c>
      <c r="L2703" s="459" t="e">
        <v>#N/A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rączka 2,7m srebrna</v>
      </c>
      <c r="C2704" s="185">
        <f t="shared" si="85"/>
        <v>92.779200000000003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9144.3581400000003</v>
      </c>
      <c r="L2704" s="459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Comfort 18 II rączka 2,7m jasny brąz</v>
      </c>
      <c r="C2705" s="185">
        <f t="shared" si="85"/>
        <v>104.69759999999999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11718.3999</v>
      </c>
      <c r="L2705" s="459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Unicomfort II rączka 2,7m srebrna</v>
      </c>
      <c r="C2706" s="185">
        <f t="shared" si="85"/>
        <v>90.916880000000006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10175.97788</v>
      </c>
      <c r="L2706" s="459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Unicomfort II rączka 2,7m jasny brąz</v>
      </c>
      <c r="C2707" s="185">
        <f t="shared" si="85"/>
        <v>105.2345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11778.494119999999</v>
      </c>
      <c r="L2707" s="459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Faworyt II rączka 2,7m jasny brąz</v>
      </c>
      <c r="C2708" s="185">
        <f t="shared" si="85"/>
        <v>55.480780000000003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6209.7503900000002</v>
      </c>
      <c r="L2708" s="459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Comfort 16 II rączka 2,7m srebrny</v>
      </c>
      <c r="C2709" s="185" t="e">
        <f t="shared" si="85"/>
        <v>#N/A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 t="e">
        <v>#N/A</v>
      </c>
      <c r="I2709" s="460" t="e">
        <v>#N/A</v>
      </c>
      <c r="J2709" s="460" t="e">
        <v>#N/A</v>
      </c>
      <c r="K2709" s="460" t="e">
        <v>#N/A</v>
      </c>
      <c r="L2709" s="459" t="e">
        <v>#N/A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Comfort 16 II rączka 2,7m jasny brąz</v>
      </c>
      <c r="C2710" s="185" t="e">
        <f t="shared" si="85"/>
        <v>#N/A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 t="e">
        <v>#N/A</v>
      </c>
      <c r="I2710" s="460" t="e">
        <v>#N/A</v>
      </c>
      <c r="J2710" s="460" t="e">
        <v>#N/A</v>
      </c>
      <c r="K2710" s="460" t="e">
        <v>#N/A</v>
      </c>
      <c r="L2710" s="459" t="e">
        <v>#N/A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rączka 2,7m srebrna</v>
      </c>
      <c r="C2711" s="185">
        <f t="shared" si="85"/>
        <v>33.579320000000003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2864.4975899999999</v>
      </c>
      <c r="L2711" s="459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rączka 2,7m jasny brąz</v>
      </c>
      <c r="C2712" s="185">
        <f t="shared" si="85"/>
        <v>41.357080000000003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3585.62997</v>
      </c>
      <c r="L2712" s="459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02290 profil "U" do płyty laminowanej 36mm srebrny 3m</v>
      </c>
      <c r="C2713" s="185">
        <f t="shared" si="85"/>
        <v>47.144399999999997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5198.1621699999996</v>
      </c>
      <c r="L2713" s="459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tor górny 3,6m czarny szczotkowany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Herkules plus tor górny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wózek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zawias 25kg</v>
      </c>
      <c r="C2717" s="185">
        <f t="shared" si="85"/>
        <v>9.2333099999999995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1021.2114800000001</v>
      </c>
      <c r="L2717" s="459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Gemini II tor dolny 6m srebrny</v>
      </c>
      <c r="C2718" s="185">
        <f t="shared" si="85"/>
        <v>0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0</v>
      </c>
      <c r="K2718" s="460">
        <v>11007.28349</v>
      </c>
      <c r="L2718" s="459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First tor górny / dolny 1,8m jasny brąz</v>
      </c>
      <c r="C2719" s="185">
        <f t="shared" si="85"/>
        <v>32.609400000000001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3375.29988</v>
      </c>
      <c r="L2719" s="459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maskownica 4,05m srebrna</v>
      </c>
      <c r="C2720" s="185">
        <f t="shared" si="85"/>
        <v>38.943600000000004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4286.7308199999998</v>
      </c>
      <c r="L2720" s="459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Doubler II tor dolny 1,7m srebrna</v>
      </c>
      <c r="C2721" s="185">
        <f t="shared" si="85"/>
        <v>53.335799999999999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5568.7437300000001</v>
      </c>
      <c r="L2721" s="459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tor dolny 2,35m srebrny</v>
      </c>
      <c r="C2722" s="185">
        <f t="shared" si="85"/>
        <v>73.745999999999995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7712.1093300000002</v>
      </c>
      <c r="L2722" s="459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tor dolny 3m srebrny</v>
      </c>
      <c r="C2723" s="185">
        <f t="shared" si="85"/>
        <v>94.115399999999994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9845.4589899999992</v>
      </c>
      <c r="L2723" s="459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Doubler II tor dolny 6m srebrna</v>
      </c>
      <c r="C2724" s="185">
        <f t="shared" si="85"/>
        <v>0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0</v>
      </c>
      <c r="K2724" s="460">
        <v>19670.886839999999</v>
      </c>
      <c r="L2724" s="459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Doubler II tor dolny 1,7m jasny brąz</v>
      </c>
      <c r="C2725" s="185">
        <f t="shared" si="85"/>
        <v>62.192169999999997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6960.9298699999999</v>
      </c>
      <c r="L2725" s="459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Doubler II tor dolny 2,35m jasny brąz</v>
      </c>
      <c r="C2726" s="185">
        <f t="shared" si="85"/>
        <v>86.174180000000007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9645.1444499999998</v>
      </c>
      <c r="L2726" s="459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Doubler II tor dolny 3m jasny brąz</v>
      </c>
      <c r="C2727" s="185">
        <f t="shared" si="85"/>
        <v>109.97721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12309.32792</v>
      </c>
      <c r="L2727" s="459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Doubler II tor dolny 4,05m jasny brąz</v>
      </c>
      <c r="C2728" s="185">
        <f t="shared" si="85"/>
        <v>148.36633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16606.074329999999</v>
      </c>
      <c r="L2728" s="459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Doubler II tor dolny 6m jasny brąz</v>
      </c>
      <c r="C2729" s="185">
        <f t="shared" si="85"/>
        <v>0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0</v>
      </c>
      <c r="K2729" s="460">
        <v>24588.608349999999</v>
      </c>
      <c r="L2729" s="459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Doubler II tor dolny 4,05m złoty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Doubler II maskownica 1,7m srebrna</v>
      </c>
      <c r="C2731" s="185">
        <f t="shared" si="85"/>
        <v>16.360800000000001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1812.8463300000001</v>
      </c>
      <c r="L2731" s="459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maskownica 2,35m srebrna</v>
      </c>
      <c r="C2732" s="185">
        <f t="shared" si="85"/>
        <v>22.593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2493.9160400000001</v>
      </c>
      <c r="L2732" s="459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Doubler II maskownica 3m srebrny</v>
      </c>
      <c r="C2733" s="185">
        <f t="shared" si="85"/>
        <v>28.845600000000001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3174.9853699999999</v>
      </c>
      <c r="L2733" s="459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Doubler II maskownica 6m srebrna</v>
      </c>
      <c r="C2734" s="185">
        <f t="shared" si="85"/>
        <v>0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0</v>
      </c>
      <c r="K2734" s="460">
        <v>6370.0018499999996</v>
      </c>
      <c r="L2734" s="459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Doubler II maskownica 1,7m jasny brąz</v>
      </c>
      <c r="C2735" s="185">
        <f t="shared" si="85"/>
        <v>19.597249999999999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2193.4442399999998</v>
      </c>
      <c r="L2735" s="459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Doubler II maskownica 2,35m jasny brąz</v>
      </c>
      <c r="C2736" s="185">
        <f t="shared" si="85"/>
        <v>27.113990000000001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3034.7650199999998</v>
      </c>
      <c r="L2736" s="459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Doubler II maskownica 3m jasny brąz</v>
      </c>
      <c r="C2737" s="185">
        <f t="shared" si="85"/>
        <v>34.630749999999999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3876.0862200000001</v>
      </c>
      <c r="L2737" s="459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Doubler II maskownica 4,05m jasny brąz</v>
      </c>
      <c r="C2738" s="185">
        <f t="shared" si="85"/>
        <v>46.800719999999998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5238.2248399999999</v>
      </c>
      <c r="L2738" s="459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Doubler II maskownica 6m jasny brąz</v>
      </c>
      <c r="C2739" s="185">
        <f t="shared" si="85"/>
        <v>0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0</v>
      </c>
      <c r="K2739" s="460">
        <v>7752.1724100000001</v>
      </c>
      <c r="L2739" s="459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maskownica 4,3m srebrna</v>
      </c>
      <c r="C2740" s="185" t="e">
        <f t="shared" si="85"/>
        <v>#N/A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 t="e">
        <v>#N/A</v>
      </c>
      <c r="I2740" s="460" t="e">
        <v>#N/A</v>
      </c>
      <c r="J2740" s="460" t="e">
        <v>#N/A</v>
      </c>
      <c r="K2740" s="460" t="e">
        <v>#N/A</v>
      </c>
      <c r="L2740" s="459" t="e">
        <v>#N/A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wzornik folii</v>
      </c>
      <c r="C2741" s="185" t="e">
        <f t="shared" si="85"/>
        <v>#N/A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 t="e">
        <v>#N/A</v>
      </c>
      <c r="I2741" s="460" t="e">
        <v>#N/A</v>
      </c>
      <c r="J2741" s="460" t="e">
        <v>#N/A</v>
      </c>
      <c r="K2741" s="460" t="e">
        <v>#N/A</v>
      </c>
      <c r="L2741" s="459" t="e">
        <v>#N/A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Faworyt II rączka 2,7m srebrny</v>
      </c>
      <c r="C2742" s="185">
        <f t="shared" si="85"/>
        <v>46.195799999999998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4847.6117400000003</v>
      </c>
      <c r="L2742" s="459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rączka 3,5m srebrna</v>
      </c>
      <c r="C2743" s="185">
        <f t="shared" si="85"/>
        <v>154.6728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16185.41373</v>
      </c>
      <c r="L2743" s="459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Future II rączka 3,5m jasny brąz</v>
      </c>
      <c r="C2744" s="185">
        <f t="shared" si="85"/>
        <v>170.136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18859.61275</v>
      </c>
      <c r="L2744" s="459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03048 Future II rączka 2,7m srebrna</v>
      </c>
      <c r="C2745" s="185">
        <f t="shared" si="85"/>
        <v>119.34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12499.626490000001</v>
      </c>
      <c r="L2745" s="459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Future II rączka 2,7m jasny brąz</v>
      </c>
      <c r="C2746" s="185">
        <f t="shared" si="85"/>
        <v>131.2638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14552.850409999999</v>
      </c>
      <c r="L2746" s="459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profil "U" do płyty laminowanej 10mm 2m srebrny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profil "U" do płyty laminowanej 10mm 3m srebrny</v>
      </c>
      <c r="C2748" s="185">
        <f t="shared" si="85"/>
        <v>17.091660000000001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1913.0035700000001</v>
      </c>
      <c r="L2748" s="459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02808 Maxim II tor dolny 3,5m srebrny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02802 Maxim II tor dolny 4,3m srebrny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zaślepka do toru 3,5m srebrna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Maxim II tor dolny 1,8m srebrny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02806 Maxim II tor dolny 2,5m srebrny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Maxim II tor dolny 6m srebrny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Maxim II maskownica 1,8m srebrny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Maxim II maskownica do toru 2,5m srebrna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Maxim II maskownica 6m srebrny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Maxim tor 6m srebrny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Maxim maskownica dolna 6m 10mm srebrny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Everest zestaw do rączki Fox II</v>
      </c>
      <c r="C2760" s="185">
        <f t="shared" si="87"/>
        <v>185.4768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20462.128990000001</v>
      </c>
      <c r="L2760" s="459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 Prosper II rączka 2,7m srebrny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Hide N tor dolny 2,35 m srebrny</v>
      </c>
      <c r="C2762" s="185">
        <f t="shared" si="87"/>
        <v>34.00788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3760.8069999999998</v>
      </c>
      <c r="L2762" s="459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zestaw Apollo 2/756</v>
      </c>
      <c r="C2763" s="185" t="e">
        <f t="shared" si="87"/>
        <v>#N/A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 t="e">
        <v>#N/A</v>
      </c>
      <c r="I2763" s="460" t="e">
        <v>#N/A</v>
      </c>
      <c r="J2763" s="460" t="e">
        <v>#N/A</v>
      </c>
      <c r="K2763" s="460" t="e">
        <v>#N/A</v>
      </c>
      <c r="L2763" s="459" t="e">
        <v>#N/A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zestaw okuć ZSE-10 Plus</v>
      </c>
      <c r="C2764" s="185">
        <f t="shared" si="87"/>
        <v>232.9272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25690.338250000001</v>
      </c>
      <c r="L2764" s="459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Ursus tor górny 1,2m surowy</v>
      </c>
      <c r="C2765" s="185" t="e">
        <f t="shared" si="87"/>
        <v>#N/A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 t="e">
        <v>#N/A</v>
      </c>
      <c r="I2765" s="460" t="e">
        <v>#N/A</v>
      </c>
      <c r="J2765" s="460" t="e">
        <v>#N/A</v>
      </c>
      <c r="K2765" s="460" t="e">
        <v>#N/A</v>
      </c>
      <c r="L2765" s="459" t="e">
        <v>#N/A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First tor górny / dolny 3 m srebrny</v>
      </c>
      <c r="C2766" s="185">
        <f t="shared" si="87"/>
        <v>49.368000000000002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5057.9418299999998</v>
      </c>
      <c r="L2766" s="459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First tor górny / dolny 3m jasny brąz</v>
      </c>
      <c r="C2767" s="185" t="e">
        <f t="shared" si="87"/>
        <v>#N/A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 t="e">
        <v>#N/A</v>
      </c>
      <c r="I2767" s="460" t="e">
        <v>#N/A</v>
      </c>
      <c r="J2767" s="460" t="e">
        <v>#N/A</v>
      </c>
      <c r="K2767" s="460" t="e">
        <v>#N/A</v>
      </c>
      <c r="L2767" s="459" t="e">
        <v>#N/A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uszczelka bezbarwna 18/4mm symetryczne</v>
      </c>
      <c r="C2768" s="185">
        <f t="shared" si="87"/>
        <v>7.6425999999999998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912.37392</v>
      </c>
      <c r="L2768" s="459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uszczelka bezbarwna 18/8mm symetryczne</v>
      </c>
      <c r="C2769" s="185">
        <f t="shared" si="87"/>
        <v>7.6425999999999998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912.37392</v>
      </c>
      <c r="L2769" s="459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zestaw okuć ZSE-18</v>
      </c>
      <c r="C2770" s="185" t="e">
        <f t="shared" si="87"/>
        <v>#N/A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 t="e">
        <v>#N/A</v>
      </c>
      <c r="I2770" s="460" t="e">
        <v>#N/A</v>
      </c>
      <c r="J2770" s="460" t="e">
        <v>#N/A</v>
      </c>
      <c r="K2770" s="460" t="e">
        <v>#N/A</v>
      </c>
      <c r="L2770" s="459" t="e">
        <v>#N/A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zestaw okuć ZSE-18 Plus</v>
      </c>
      <c r="C2771" s="185" t="e">
        <f t="shared" si="87"/>
        <v>#N/A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 t="e">
        <v>#N/A</v>
      </c>
      <c r="I2771" s="460" t="e">
        <v>#N/A</v>
      </c>
      <c r="J2771" s="460" t="e">
        <v>#N/A</v>
      </c>
      <c r="K2771" s="460" t="e">
        <v>#N/A</v>
      </c>
      <c r="L2771" s="459" t="e">
        <v>#N/A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zestaw okuć ZSE-18 U Plus</v>
      </c>
      <c r="C2772" s="185" t="e">
        <f t="shared" si="87"/>
        <v>#N/A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 t="e">
        <v>#N/A</v>
      </c>
      <c r="I2772" s="460" t="e">
        <v>#N/A</v>
      </c>
      <c r="J2772" s="460" t="e">
        <v>#N/A</v>
      </c>
      <c r="K2772" s="460" t="e">
        <v>#N/A</v>
      </c>
      <c r="L2772" s="459" t="e">
        <v>#N/A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Micra tor górny / dolny 1,7 m oliwka</v>
      </c>
      <c r="C2773" s="185">
        <f t="shared" si="87"/>
        <v>13.780720000000001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1542.42202</v>
      </c>
      <c r="L2773" s="459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Micra tor górny / dolny 2,35 m oliwka</v>
      </c>
      <c r="C2774" s="185">
        <f t="shared" si="87"/>
        <v>19.06033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2133.3496399999999</v>
      </c>
      <c r="L2774" s="459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Top tor górny pojedyńczy 3m srebrny</v>
      </c>
      <c r="C2775" s="185">
        <f t="shared" si="87"/>
        <v>116.4534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12850.1769</v>
      </c>
      <c r="L2775" s="459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Top tor górny pojedynczy 3 m oliwka</v>
      </c>
      <c r="C2776" s="185">
        <f t="shared" si="87"/>
        <v>139.59678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15624.533219999999</v>
      </c>
      <c r="L2776" s="459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Top tor górny pojedynczy 6 m srebrny</v>
      </c>
      <c r="C2777" s="185">
        <f t="shared" si="87"/>
        <v>0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0</v>
      </c>
      <c r="K2777" s="460">
        <v>25680.322690000001</v>
      </c>
      <c r="L2777" s="459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Top tor górny pojedynczy 6 m oliwka</v>
      </c>
      <c r="C2778" s="185" t="e">
        <f t="shared" si="87"/>
        <v>#N/A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 t="e">
        <v>#N/A</v>
      </c>
      <c r="I2778" s="460" t="e">
        <v>#N/A</v>
      </c>
      <c r="J2778" s="460" t="e">
        <v>#N/A</v>
      </c>
      <c r="K2778" s="460" t="e">
        <v>#N/A</v>
      </c>
      <c r="L2778" s="459" t="e">
        <v>#N/A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Victoria II rączka 2,7m jasny brąz szczotkowany</v>
      </c>
      <c r="C2779" s="185">
        <f t="shared" si="87"/>
        <v>82.505279999999999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9234.4998200000009</v>
      </c>
      <c r="L2779" s="459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kątownik K2 Decor 1,7 m jasny brąz szczotkowany</v>
      </c>
      <c r="C2780" s="185">
        <f t="shared" si="87"/>
        <v>16.82321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1882.95649</v>
      </c>
      <c r="L2780" s="459" t="s">
        <v>539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kątownik K2 Decor 2,35 m jasny brąz szczotkowany</v>
      </c>
      <c r="C2781" s="185">
        <f t="shared" si="87"/>
        <v>23.26613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2604.08887</v>
      </c>
      <c r="L2781" s="459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kątownik K2 Decor 3 m jasny brąz szczotkowany</v>
      </c>
      <c r="C2782" s="185">
        <f t="shared" si="87"/>
        <v>31.558800000000002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3325.2212399999999</v>
      </c>
      <c r="L2782" s="459" t="s">
        <v>539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listwa łącząca H18 3m jasny brąz szczotkowany</v>
      </c>
      <c r="C2783" s="185">
        <f t="shared" si="87"/>
        <v>67.391400000000004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7451.7006300000003</v>
      </c>
      <c r="L2783" s="459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Lux III rączka 2,7 m jasny brąz</v>
      </c>
      <c r="C2784" s="185" t="e">
        <f t="shared" si="87"/>
        <v>#N/A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 t="e">
        <v>#N/A</v>
      </c>
      <c r="I2784" s="460" t="e">
        <v>#N/A</v>
      </c>
      <c r="J2784" s="460" t="e">
        <v>#N/A</v>
      </c>
      <c r="K2784" s="460" t="e">
        <v>#N/A</v>
      </c>
      <c r="L2784" s="459" t="e">
        <v>#N/A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Lux III rączka 2,7 m srebrna</v>
      </c>
      <c r="C2785" s="185">
        <f t="shared" si="87"/>
        <v>102.72564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9524.9556599999996</v>
      </c>
      <c r="L2785" s="459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szczotka odbojowa bez kleju 4,8x6mm</v>
      </c>
      <c r="C2786" s="185">
        <f t="shared" si="87"/>
        <v>0.54059999999999997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54.202759999999998</v>
      </c>
      <c r="L2786" s="459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Maxim tor górny 6 m srebrny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Optima 18 rączka 2,4 m srebrna</v>
      </c>
      <c r="C2788" s="185">
        <f t="shared" si="87"/>
        <v>46.800719999999998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5238.2248399999999</v>
      </c>
      <c r="L2788" s="459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Optima tor dolny 2m surowy</v>
      </c>
      <c r="C2789" s="185">
        <f t="shared" si="87"/>
        <v>28.63524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3205.0324500000002</v>
      </c>
      <c r="L2789" s="459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Optima tor dolny 2,4m surowy</v>
      </c>
      <c r="C2790" s="185" t="e">
        <f t="shared" si="87"/>
        <v>#N/A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 t="e">
        <v>#N/A</v>
      </c>
      <c r="I2790" s="460" t="e">
        <v>#N/A</v>
      </c>
      <c r="J2790" s="460" t="e">
        <v>#N/A</v>
      </c>
      <c r="K2790" s="460" t="e">
        <v>#N/A</v>
      </c>
      <c r="L2790" s="459" t="e">
        <v>#N/A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Optima tor górny 2m srebrny</v>
      </c>
      <c r="C2791" s="185">
        <f t="shared" si="87"/>
        <v>85.741200000000006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9454.8458900000005</v>
      </c>
      <c r="L2791" s="459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Optima tor górny 2,4m srebrny</v>
      </c>
      <c r="C2792" s="185">
        <f t="shared" si="87"/>
        <v>102.816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11337.802379999999</v>
      </c>
      <c r="L2792" s="459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Optima II zestaw okuć (dwa skrzydła drzwiowe)</v>
      </c>
      <c r="C2793" s="185">
        <f t="shared" si="87"/>
        <v>92.830200000000005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10236.072480000001</v>
      </c>
      <c r="L2793" s="459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Hide N tor dolny 3m srebrny</v>
      </c>
      <c r="C2794" s="185">
        <f t="shared" si="87"/>
        <v>43.414319999999996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4801.6572299999998</v>
      </c>
      <c r="L2794" s="459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Hide N tor dolny 3 m oliwka</v>
      </c>
      <c r="C2795" s="185">
        <f t="shared" si="87"/>
        <v>50.871980000000001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5626.48153</v>
      </c>
      <c r="L2795" s="459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Wilson A komplet półek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Wilson B komplet półek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Wilson C komplet półek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Wilson D komplet półek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Wilson E komplet półek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Wilson F komplet półek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Fox II rączka 2,7 m koniak szczotkowany</v>
      </c>
      <c r="C2802" s="185">
        <f t="shared" si="87"/>
        <v>90.198599999999999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9685.2075299999997</v>
      </c>
      <c r="L2802" s="459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Fox II rączka 2,7m czarny szczotkowany</v>
      </c>
      <c r="C2803" s="185">
        <f t="shared" si="87"/>
        <v>90.198599999999999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9685.2075299999997</v>
      </c>
      <c r="L2803" s="459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Elegant II tor dolny 2,35m koniak szczotkowany</v>
      </c>
      <c r="C2804" s="185">
        <f t="shared" si="87"/>
        <v>76.367400000000004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8262.9742999999999</v>
      </c>
      <c r="L2804" s="459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Elegant II tor dolny 2,35 m czarny szczotkowany</v>
      </c>
      <c r="C2805" s="185">
        <f t="shared" si="87"/>
        <v>76.367400000000004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8262.9742999999999</v>
      </c>
      <c r="L2805" s="459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Elegant II tor dolny 4,05m koniak szczotkowany</v>
      </c>
      <c r="C2806" s="185">
        <f t="shared" si="87"/>
        <v>131.8554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14242.36305</v>
      </c>
      <c r="L2806" s="459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Elegant II tor dolny 4,05 m czarny szczotkowany</v>
      </c>
      <c r="C2807" s="185">
        <f t="shared" si="87"/>
        <v>131.8554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14242.36305</v>
      </c>
      <c r="L2807" s="459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Elegant II tor dolny 1,7m koniak szczotkowany</v>
      </c>
      <c r="C2808" s="185">
        <f t="shared" si="87"/>
        <v>55.386000000000003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5979.3887400000003</v>
      </c>
      <c r="L2808" s="459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Elegant II tor dolny 1,7 m czarny szczotkowany</v>
      </c>
      <c r="C2809" s="185">
        <f t="shared" si="87"/>
        <v>55.386000000000003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5979.3887400000003</v>
      </c>
      <c r="L2809" s="459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Elegant II tor dolny 3m koniak szczotkowany</v>
      </c>
      <c r="C2810" s="185">
        <f t="shared" si="87"/>
        <v>97.675200000000004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10546.55984</v>
      </c>
      <c r="L2810" s="459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listwa pozioma górna 1,7 m oliwka ciemna szczotkowana</v>
      </c>
      <c r="C2811" s="185">
        <f t="shared" si="87"/>
        <v>63.382800000000003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5047.9262699999999</v>
      </c>
      <c r="L2811" s="459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listwa pozioma górna 1,7 m czarny szczotkowany</v>
      </c>
      <c r="C2812" s="185">
        <f t="shared" si="87"/>
        <v>63.382800000000003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5047.9262699999999</v>
      </c>
      <c r="L2812" s="459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listwa pozioma górna 2,35 m oliwka ciemna szczotkowana</v>
      </c>
      <c r="C2813" s="185">
        <f t="shared" si="87"/>
        <v>87.638400000000004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7000.9929199999997</v>
      </c>
      <c r="L2813" s="459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listwa pozioma górna 2,35m czarny szczotkowany</v>
      </c>
      <c r="C2814" s="185">
        <f t="shared" si="87"/>
        <v>87.638400000000004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7000.9929199999997</v>
      </c>
      <c r="L2814" s="459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listwa pozioma górna 3 m oliwka ciemna szczotkowana</v>
      </c>
      <c r="C2815" s="185">
        <f t="shared" si="87"/>
        <v>111.41459999999999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8924.0120800000004</v>
      </c>
      <c r="L2815" s="459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listwa pozioma górna 3m czarny szczotkowany</v>
      </c>
      <c r="C2816" s="185">
        <f t="shared" si="87"/>
        <v>111.41459999999999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8924.0120800000004</v>
      </c>
      <c r="L2816" s="459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listwa łącząca H10 3 m oliwka ciemna szczotkowana</v>
      </c>
      <c r="C2817" s="185" t="e">
        <f t="shared" si="87"/>
        <v>#N/A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 t="e">
        <v>#N/A</v>
      </c>
      <c r="I2817" s="460" t="e">
        <v>#N/A</v>
      </c>
      <c r="J2817" s="460" t="e">
        <v>#N/A</v>
      </c>
      <c r="K2817" s="460" t="e">
        <v>#N/A</v>
      </c>
      <c r="L2817" s="459" t="e">
        <v>#N/A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listwa łącząca H10 3m czarna szczotkowana</v>
      </c>
      <c r="C2818" s="185">
        <f t="shared" si="87"/>
        <v>74.362139999999997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8323.0684999999994</v>
      </c>
      <c r="L2818" s="459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Gemini tor górny 1,7m koniak szczotkowany</v>
      </c>
      <c r="C2819" s="185">
        <f t="shared" si="87"/>
        <v>84.170400000000001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9364.7042000000001</v>
      </c>
      <c r="L2819" s="459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Gemini tor górny 1,7 m czarny szczotkowany</v>
      </c>
      <c r="C2820" s="185">
        <f t="shared" ref="C2820:C2883" si="89">IF($A$2=1,H2820,IF($A$2=2,I2820,IF($A$2=3,J2820,IF($A$2=4,K2820,IF($A$2&gt;4,O2820,"zadat jazyk")))))</f>
        <v>84.170400000000001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9364.7042000000001</v>
      </c>
      <c r="L2820" s="459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Gemini tor górny 2,35m koniak szczotkowany</v>
      </c>
      <c r="C2821" s="185">
        <f t="shared" si="89"/>
        <v>116.5962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12940.31861</v>
      </c>
      <c r="L2821" s="459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Gemini tor górny 2,35 m czarny szczotkowany</v>
      </c>
      <c r="C2822" s="185">
        <f t="shared" si="89"/>
        <v>116.5962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12940.31861</v>
      </c>
      <c r="L2822" s="459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Gemini tor górny 3m koniak szczotkowany</v>
      </c>
      <c r="C2823" s="185">
        <f t="shared" si="89"/>
        <v>148.83840000000001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16515.93302</v>
      </c>
      <c r="L2823" s="459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Gemini tor górny 3 m czarny szczotkowany</v>
      </c>
      <c r="C2824" s="185">
        <f t="shared" si="89"/>
        <v>148.83840000000001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16515.93302</v>
      </c>
      <c r="L2824" s="459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Gemini tor górny 4,05m koniak szczotkowany</v>
      </c>
      <c r="C2825" s="185">
        <f t="shared" si="89"/>
        <v>200.9196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22295.006850000002</v>
      </c>
      <c r="L2825" s="459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Gemini tor górny 4,05 m czarny szczotkowany</v>
      </c>
      <c r="C2826" s="185">
        <f t="shared" si="89"/>
        <v>200.9196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22295.006850000002</v>
      </c>
      <c r="L2826" s="459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listwa pozioma dolna 1,7 m 10mm oliwka ciemna szczotkowana</v>
      </c>
      <c r="C2827" s="185">
        <f t="shared" si="89"/>
        <v>76.599260000000001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8573.4616399999995</v>
      </c>
      <c r="L2827" s="459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listwa pozioma dolna 1,7 m 10 mm czarna szczotkowana</v>
      </c>
      <c r="C2828" s="185">
        <f t="shared" si="89"/>
        <v>76.599260000000001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8573.4616399999995</v>
      </c>
      <c r="L2828" s="459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listwa pozioma dolna 2,35 m oliwka ciemna szczotkowana</v>
      </c>
      <c r="C2829" s="185">
        <f t="shared" si="89"/>
        <v>106.03986999999999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11868.6358</v>
      </c>
      <c r="L2829" s="459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listwa pozioma dolna 2,35 m 10 mm czarna szczotkowana</v>
      </c>
      <c r="C2830" s="185">
        <f t="shared" si="89"/>
        <v>106.03986999999999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11868.6358</v>
      </c>
      <c r="L2830" s="459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listwa pozioma dolna 3 m 10mm oliwka ciemna szczotkowana</v>
      </c>
      <c r="C2831" s="185">
        <f t="shared" si="89"/>
        <v>135.48047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15163.809960000001</v>
      </c>
      <c r="L2831" s="459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listwa pozioma dolna 3 m 10 mm czarna szczotkowana</v>
      </c>
      <c r="C2832" s="185">
        <f t="shared" si="89"/>
        <v>135.48047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15163.809960000001</v>
      </c>
      <c r="L2832" s="459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Elegant II tor dolny 3 m czarny szczotkowany</v>
      </c>
      <c r="C2833" s="185">
        <f t="shared" si="89"/>
        <v>97.675200000000004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10546.55984</v>
      </c>
      <c r="L2833" s="459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Exclusive tor górny 1,2m jasny brąz</v>
      </c>
      <c r="C2834" s="185" t="e">
        <f t="shared" si="89"/>
        <v>#N/A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 t="e">
        <v>#N/A</v>
      </c>
      <c r="I2834" s="460" t="e">
        <v>#N/A</v>
      </c>
      <c r="J2834" s="460" t="e">
        <v>#N/A</v>
      </c>
      <c r="K2834" s="460" t="e">
        <v>#N/A</v>
      </c>
      <c r="L2834" s="459" t="e">
        <v>#N/A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Star rączka 2,7 m srebrna</v>
      </c>
      <c r="C2835" s="185" t="e">
        <f t="shared" si="89"/>
        <v>#N/A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 t="e">
        <v>#N/A</v>
      </c>
      <c r="I2835" s="460" t="e">
        <v>#N/A</v>
      </c>
      <c r="J2835" s="460" t="e">
        <v>#N/A</v>
      </c>
      <c r="K2835" s="460" t="e">
        <v>#N/A</v>
      </c>
      <c r="L2835" s="459" t="e">
        <v>#N/A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Star rączka 2,7 m oliwka</v>
      </c>
      <c r="C2836" s="185" t="e">
        <f t="shared" si="89"/>
        <v>#N/A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 t="e">
        <v>#N/A</v>
      </c>
      <c r="I2836" s="460" t="e">
        <v>#N/A</v>
      </c>
      <c r="J2836" s="460" t="e">
        <v>#N/A</v>
      </c>
      <c r="K2836" s="460" t="e">
        <v>#N/A</v>
      </c>
      <c r="L2836" s="459" t="e">
        <v>#N/A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uszczelka bezbarwna 10/6,4mm</v>
      </c>
      <c r="C2837" s="185">
        <f t="shared" si="89"/>
        <v>2.7501000000000002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317.79295000000002</v>
      </c>
      <c r="L2837" s="459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zaślepka do toru Hide N srebrna</v>
      </c>
      <c r="C2838" s="185">
        <f t="shared" si="89"/>
        <v>18.523420000000002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2073.2554399999999</v>
      </c>
      <c r="L2838" s="459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stoper do torów Hide N i M</v>
      </c>
      <c r="C2839" s="185">
        <f t="shared" si="89"/>
        <v>12.1584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1041.6357</v>
      </c>
      <c r="L2839" s="459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Secret Line II profil ramkowy 2,7 m srebrny</v>
      </c>
      <c r="C2840" s="185">
        <f t="shared" si="89"/>
        <v>26.948399999999999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2974.67083</v>
      </c>
      <c r="L2840" s="459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Slim Line II profil ramowy 2,7 m srebrny</v>
      </c>
      <c r="C2841" s="185">
        <f t="shared" si="89"/>
        <v>30.498000000000001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3355.2683499999998</v>
      </c>
      <c r="L2841" s="459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Line tor górny 2m alu surowy</v>
      </c>
      <c r="C2842" s="185" t="e">
        <f t="shared" si="89"/>
        <v>#N/A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 t="e">
        <v>#N/A</v>
      </c>
      <c r="I2842" s="460" t="e">
        <v>#N/A</v>
      </c>
      <c r="J2842" s="460" t="e">
        <v>#N/A</v>
      </c>
      <c r="K2842" s="460" t="e">
        <v>#N/A</v>
      </c>
      <c r="L2842" s="459" t="e">
        <v>#N/A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Line tor dolny 2m aluminium surowe</v>
      </c>
      <c r="C2843" s="185" t="e">
        <f t="shared" si="89"/>
        <v>#N/A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 t="e">
        <v>#N/A</v>
      </c>
      <c r="I2843" s="460" t="e">
        <v>#N/A</v>
      </c>
      <c r="J2843" s="460" t="e">
        <v>#N/A</v>
      </c>
      <c r="K2843" s="460" t="e">
        <v>#N/A</v>
      </c>
      <c r="L2843" s="459" t="e">
        <v>#N/A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Line zestaw okuć do 2 skrzydeł lewy</v>
      </c>
      <c r="C2844" s="185" t="e">
        <f t="shared" si="89"/>
        <v>#N/A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 t="e">
        <v>#N/A</v>
      </c>
      <c r="I2844" s="460" t="e">
        <v>#N/A</v>
      </c>
      <c r="J2844" s="460" t="e">
        <v>#N/A</v>
      </c>
      <c r="K2844" s="460" t="e">
        <v>#N/A</v>
      </c>
      <c r="L2844" s="459" t="e">
        <v>#N/A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Line zestaw okuć do dwóch skrzydeł prawy</v>
      </c>
      <c r="C2845" s="185">
        <f t="shared" si="89"/>
        <v>368.93400000000003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22014.566589999999</v>
      </c>
      <c r="L2845" s="459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taśma klejąca dwustronna 50mm 10m</v>
      </c>
      <c r="C2846" s="185">
        <f t="shared" si="89"/>
        <v>16.541799999999999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1947.7642000000001</v>
      </c>
      <c r="L2846" s="459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Herkules Glass zestaw okuć 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Herkules tłumienie 40 - 80kg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Hide M tor dolny 3m srebrny</v>
      </c>
      <c r="C2849" s="185">
        <f t="shared" si="89"/>
        <v>29.8307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3299.2979500000001</v>
      </c>
      <c r="L2849" s="459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Profil "U" mini do płyty laminowanej 18 mm, 3 m, srebrny</v>
      </c>
      <c r="C2850" s="185">
        <f t="shared" si="89"/>
        <v>12.79637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1432.24881</v>
      </c>
      <c r="L2850" s="459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szczotka odbojowa z klejem 6,7x4 mm szara</v>
      </c>
      <c r="C2851" s="185">
        <f t="shared" si="89"/>
        <v>1.1577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102.51391</v>
      </c>
      <c r="L2851" s="459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Beta 18 rączka 2,70m srebrny</v>
      </c>
      <c r="C2852" s="185">
        <f t="shared" si="89"/>
        <v>29.4984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2944.62372</v>
      </c>
      <c r="L2852" s="459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Beta 18 rączka 2,70 m oliwka</v>
      </c>
      <c r="C2853" s="185">
        <f t="shared" si="89"/>
        <v>32.986800000000002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3685.7872400000001</v>
      </c>
      <c r="L2853" s="459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listwa łącząca H10 Decor 3m, srebrna</v>
      </c>
      <c r="C2854" s="185">
        <f t="shared" si="89"/>
        <v>48.042000000000002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5128.0520100000003</v>
      </c>
      <c r="L2854" s="459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Exclusive zestaw okuć ZPE-18</v>
      </c>
      <c r="C2855" s="185">
        <f t="shared" si="89"/>
        <v>134.14932999999999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14837.02203</v>
      </c>
      <c r="L2855" s="459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Libra rączka 18 mm 2,70 m srebrna</v>
      </c>
      <c r="C2856" s="185">
        <f t="shared" si="89"/>
        <v>45.355609999999999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4994.8622400000004</v>
      </c>
      <c r="L2856" s="459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Fala rączka 10mm 2,70m srebrny</v>
      </c>
      <c r="C2857" s="185">
        <f t="shared" si="89"/>
        <v>45.41854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4669.3318200000003</v>
      </c>
      <c r="L2857" s="459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Polo rączka 10mm 2,70m srebrny</v>
      </c>
      <c r="C2858" s="185">
        <f t="shared" si="89"/>
        <v>45.41854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5096.5906000000004</v>
      </c>
      <c r="L2858" s="459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Simple tor górny 6 m srebrny</v>
      </c>
      <c r="C2859" s="185">
        <f t="shared" si="89"/>
        <v>0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0</v>
      </c>
      <c r="K2859" s="460">
        <v>16785.17915</v>
      </c>
      <c r="L2859" s="459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Simple tor dolny 6 m srebrny</v>
      </c>
      <c r="C2860" s="185">
        <f t="shared" si="89"/>
        <v>0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0</v>
      </c>
      <c r="K2860" s="460">
        <v>8830.0214500000002</v>
      </c>
      <c r="L2860" s="459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wózek górny Simple (10 mm Fala) asymetryczny L+P</v>
      </c>
      <c r="C2861" s="185">
        <f t="shared" si="89"/>
        <v>8.4953299999999992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850.86532</v>
      </c>
      <c r="L2861" s="459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wózek górny Simple (10 mm Polo) symetryczny L+P</v>
      </c>
      <c r="C2862" s="185">
        <f t="shared" si="89"/>
        <v>8.4953299999999992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850.86532</v>
      </c>
      <c r="L2862" s="459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wózek górny Simple (do płyty laminowanej 18 mm) ramowy L+P</v>
      </c>
      <c r="C2863" s="185">
        <f t="shared" si="89"/>
        <v>8.4953299999999992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850.86532</v>
      </c>
      <c r="L2863" s="459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wózek górny Simple (do płyty laminowanej 18mm) bezramowy L+P</v>
      </c>
      <c r="C2864" s="185">
        <f t="shared" si="89"/>
        <v>7.5828699999999998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871.36820999999998</v>
      </c>
      <c r="L2864" s="459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klin mocujący Simple 40 szt. (szkło 4 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zaślepka gumowa do toru Simple/Blue przeźroczysta</v>
      </c>
      <c r="C2866" s="185">
        <f t="shared" si="89"/>
        <v>3.4045299999999998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399.80439000000001</v>
      </c>
      <c r="L2866" s="459" t="s">
        <v>538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zamek do drzwi przesuwnych 10/18mm</v>
      </c>
      <c r="C2867" s="185">
        <f t="shared" si="89"/>
        <v>66.840599999999995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6243.0970299999999</v>
      </c>
      <c r="L2867" s="459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Victoria II 2,7 m oliwka ciemna szczotkowana</v>
      </c>
      <c r="C2868" s="185">
        <f t="shared" si="89"/>
        <v>82.505279999999999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9234.4998200000009</v>
      </c>
      <c r="L2868" s="459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Victoria II 2,7m czarny szczotkowany</v>
      </c>
      <c r="C2869" s="185">
        <f t="shared" si="89"/>
        <v>82.505279999999999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9234.4998200000009</v>
      </c>
      <c r="L2869" s="459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Comfort tor dolny 1,7m jasny brąz</v>
      </c>
      <c r="C2870" s="185">
        <f t="shared" si="89"/>
        <v>62.933999999999997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6520.2377500000002</v>
      </c>
      <c r="L2870" s="459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U profil stalowy 2m srebrny</v>
      </c>
      <c r="C2871" s="185" t="e">
        <f t="shared" si="89"/>
        <v>#N/A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 t="e">
        <v>#N/A</v>
      </c>
      <c r="I2871" s="460" t="e">
        <v>#N/A</v>
      </c>
      <c r="J2871" s="460" t="e">
        <v>#N/A</v>
      </c>
      <c r="K2871" s="460" t="e">
        <v>#N/A</v>
      </c>
      <c r="L2871" s="459" t="e">
        <v>#N/A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zestaw Herkules plus 40kg do 2 skrzydeł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prowadnik z tuleją do drzwi składanych Herkules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środkowy zawias sprężynowy srebrny</v>
      </c>
      <c r="C2874" s="185">
        <f t="shared" si="89"/>
        <v>11.45285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1266.69498</v>
      </c>
      <c r="L2874" s="459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Herkules plus tor górny 1,5 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prowadnik 102 N</v>
      </c>
      <c r="C2876" s="185">
        <f t="shared" si="89"/>
        <v>2.5746799999999999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284.76100000000002</v>
      </c>
      <c r="L2876" s="459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Comfort tor dolny 3m jasny brąz</v>
      </c>
      <c r="C2877" s="185" t="e">
        <f t="shared" si="89"/>
        <v>#N/A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 t="e">
        <v>#N/A</v>
      </c>
      <c r="I2877" s="460" t="e">
        <v>#N/A</v>
      </c>
      <c r="J2877" s="460" t="e">
        <v>#N/A</v>
      </c>
      <c r="K2877" s="460" t="e">
        <v>#N/A</v>
      </c>
      <c r="L2877" s="459" t="e">
        <v>#N/A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tor dolny Simple/Blue 3m (do płyty laminowanej 18mm) srebrny</v>
      </c>
      <c r="C2878" s="185">
        <f t="shared" si="89"/>
        <v>50.028039999999997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4058.9616799999999</v>
      </c>
      <c r="L2878" s="459" t="s">
        <v>538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maskownica dolna Simple/Blue 3m (do płyty laminowanej 18mm) srebrny</v>
      </c>
      <c r="C2879" s="185">
        <f t="shared" si="89"/>
        <v>96.374769999999998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7904.2935500000003</v>
      </c>
      <c r="L2879" s="459" t="s">
        <v>538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tor dolny Simple/Blue 3m (do płyty laminowanej 10mm) srebrny</v>
      </c>
      <c r="C2880" s="185">
        <f t="shared" si="89"/>
        <v>45.607320000000001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4699.85023</v>
      </c>
      <c r="L2880" s="459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maskownica dolna Simple/Blue 3m (do płyty laminowanej 10mm) srebrny</v>
      </c>
      <c r="C2881" s="185">
        <f t="shared" si="89"/>
        <v>68.544700000000006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7649.97264</v>
      </c>
      <c r="L2881" s="459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szablon do wózków do płyty laminowanej 18mm</v>
      </c>
      <c r="C2882" s="185">
        <f t="shared" si="89"/>
        <v>17.821909999999999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538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rączka 18 mm 2,70 m złota</v>
      </c>
      <c r="C2883" s="185" t="e">
        <f t="shared" si="89"/>
        <v>#N/A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 t="e">
        <v>#N/A</v>
      </c>
      <c r="I2883" s="460" t="e">
        <v>#N/A</v>
      </c>
      <c r="J2883" s="460" t="e">
        <v>#N/A</v>
      </c>
      <c r="K2883" s="460" t="e">
        <v>#N/A</v>
      </c>
      <c r="L2883" s="459" t="e">
        <v>#N/A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Alfa II rączka 18mm 2,70m srebrny</v>
      </c>
      <c r="C2884" s="185">
        <f t="shared" ref="C2884:C2947" si="91">IF($A$2=1,H2884,IF($A$2=2,I2884,IF($A$2=3,J2884,IF($A$2=4,K2884,IF($A$2&gt;4,O2884,"zadat jazyk")))))</f>
        <v>45.701709999999999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4867.6428800000003</v>
      </c>
      <c r="L2884" s="459" t="s">
        <v>538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Alfa II rączka 18mm 2,70m jasny brąz</v>
      </c>
      <c r="C2885" s="185">
        <f t="shared" si="91"/>
        <v>54.764899999999997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6129.62464</v>
      </c>
      <c r="L2885" s="459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ZR-18 Unicomfort zestaw do drzwi rozwieranych</v>
      </c>
      <c r="C2886" s="185">
        <f t="shared" si="91"/>
        <v>106.2534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11718.3999</v>
      </c>
      <c r="L2886" s="459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kątownik K2 1,7 m  oliwka ciemna szczotkowana</v>
      </c>
      <c r="C2887" s="185">
        <f t="shared" si="91"/>
        <v>16.82321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1882.95649</v>
      </c>
      <c r="L2887" s="459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kątownik K2 2,35 m  oliwka ciemna szczotkowana</v>
      </c>
      <c r="C2888" s="185">
        <f t="shared" si="91"/>
        <v>23.26613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2604.08887</v>
      </c>
      <c r="L2888" s="459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kątownik K2 3 m  oliwka ciemna szczotkowana</v>
      </c>
      <c r="C2889" s="185">
        <f t="shared" si="91"/>
        <v>31.558800000000002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3325.2212399999999</v>
      </c>
      <c r="L2889" s="459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listwa łącząca H18 3 m  oliwka ciemna szczotkowana</v>
      </c>
      <c r="C2890" s="185">
        <f t="shared" si="91"/>
        <v>67.391400000000004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7451.7006300000003</v>
      </c>
      <c r="L2890" s="459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profil "U" 18 mm 3 m oliwka szczotkowana</v>
      </c>
      <c r="C2891" s="185">
        <f t="shared" si="91"/>
        <v>36.934199999999997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3295.17416</v>
      </c>
      <c r="L2891" s="459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profil "U" 18 mm 3 m  oliwka ciemna szczotkowana</v>
      </c>
      <c r="C2892" s="185">
        <f t="shared" si="91"/>
        <v>36.934199999999997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3295.17416</v>
      </c>
      <c r="L2892" s="459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profil "U" 18 mm 3 m czarny szczotkowany</v>
      </c>
      <c r="C2893" s="185">
        <f t="shared" si="91"/>
        <v>36.934199999999997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3295.17416</v>
      </c>
      <c r="L2893" s="459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listwa łącząca H18 3m czarny szczotkowany</v>
      </c>
      <c r="C2894" s="185">
        <f t="shared" si="91"/>
        <v>67.391400000000004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7451.7006300000003</v>
      </c>
      <c r="L2894" s="459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kątownik K2 1,7 m czarny szczotkowany</v>
      </c>
      <c r="C2895" s="185">
        <f t="shared" si="91"/>
        <v>16.82321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1882.95649</v>
      </c>
      <c r="L2895" s="459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kątownik K2 2,35 m czarny szczotkowany</v>
      </c>
      <c r="C2896" s="185">
        <f t="shared" si="91"/>
        <v>23.26613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2604.08887</v>
      </c>
      <c r="L2896" s="459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kątownik K2 3 m czarny szczotkowany</v>
      </c>
      <c r="C2897" s="185">
        <f t="shared" si="91"/>
        <v>31.558800000000002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3325.2212399999999</v>
      </c>
      <c r="L2897" s="459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Hide M tor dolny 3 m oliwka</v>
      </c>
      <c r="C2898" s="185">
        <f t="shared" si="91"/>
        <v>36.22298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4006.2905000000001</v>
      </c>
      <c r="L2898" s="459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Herkules 2 tor górny 1,2 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Herkules 2 tor górny 1,5 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Herkules 2 tor górny 1,8 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Herkules 2 tor górny 2 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Herkules 2 tor górny 3 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Herkules 2 tor górny 4 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Herkules 2 tor górny 6 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Herkules zestaw okuć 60kg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Herkules zestaw okuć 120kg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Herkules zestaw okuć 60kg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Herkules zestaw okuć 120kg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Herkules zestaw okuć 60kg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Herkules zestaw okuć 120kg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Herkules zestaw okuć 60kg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Herkules zestaw okuć 120kg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Herkules zestaw okuć 60kg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Herkules zestaw okuć 120kg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Herkules zestaw okuć 60kg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Herkules zestaw okuć 120kg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Herkules zestaw okuć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Herkules zestaw okuć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Libra rączka 18 mm 2,70 m oliwka</v>
      </c>
      <c r="C2920" s="185" t="e">
        <f t="shared" si="91"/>
        <v>#N/A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 t="e">
        <v>#N/A</v>
      </c>
      <c r="I2920" s="460" t="e">
        <v>#N/A</v>
      </c>
      <c r="J2920" s="460" t="e">
        <v>#N/A</v>
      </c>
      <c r="K2920" s="460" t="e">
        <v>#N/A</v>
      </c>
      <c r="L2920" s="459" t="e">
        <v>#N/A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Fala rączka 10mm 2,70m jasny brąz</v>
      </c>
      <c r="C2921" s="185">
        <f t="shared" si="91"/>
        <v>52.309190000000001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5534.0228800000004</v>
      </c>
      <c r="L2921" s="459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Polo rączka 10mm 2,70m jasny brąz</v>
      </c>
      <c r="C2922" s="185">
        <f t="shared" si="91"/>
        <v>52.202739999999999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6083.3557700000001</v>
      </c>
      <c r="L2922" s="459" t="s">
        <v>538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Simple tor górny 6 m oliwka</v>
      </c>
      <c r="C2923" s="185" t="e">
        <f t="shared" si="91"/>
        <v>#N/A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 t="e">
        <v>#N/A</v>
      </c>
      <c r="I2923" s="460" t="e">
        <v>#N/A</v>
      </c>
      <c r="J2923" s="460" t="e">
        <v>#N/A</v>
      </c>
      <c r="K2923" s="460" t="e">
        <v>#N/A</v>
      </c>
      <c r="L2923" s="459" t="e">
        <v>#N/A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Simple tor dolny 6 m oliwka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listwa łącząca Simple/Blue H28 3m (do płyty laminowanej 18mm) jasny brąz</v>
      </c>
      <c r="C2925" s="185">
        <f t="shared" si="91"/>
        <v>83.149019999999993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9694.7124800000001</v>
      </c>
      <c r="L2925" s="459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listwa poz. górna Simple/Blue 3m (do płyty laminowanej 18mm) jasny brąz</v>
      </c>
      <c r="C2926" s="185">
        <f t="shared" si="91"/>
        <v>57.532240000000002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5025.3810700000004</v>
      </c>
      <c r="L2926" s="459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maskownica dolna Simple/Blue 3m (do płyty laminowanej 18mm) jasny brąz</v>
      </c>
      <c r="C2927" s="185">
        <f t="shared" si="91"/>
        <v>108.34688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9796.4408399999993</v>
      </c>
      <c r="L2927" s="459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listwa poz. górna Simple/Blue 3m (do płyty laminowanej 10mm) jasny brąz</v>
      </c>
      <c r="C2928" s="185">
        <f t="shared" si="91"/>
        <v>52.450780000000002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5879.8990400000002</v>
      </c>
      <c r="L2928" s="459" t="s">
        <v>538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maskownica dolna Simple/Blue 3m (do płyty laminowanej 10mm) jasny brąz</v>
      </c>
      <c r="C2929" s="185">
        <f t="shared" si="91"/>
        <v>78.802019999999999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9094.51541</v>
      </c>
      <c r="L2929" s="459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klips do szczotki przeciwkurzowej</v>
      </c>
      <c r="C2930" s="185">
        <f t="shared" si="91"/>
        <v>0.23857999999999999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30.754100000000001</v>
      </c>
      <c r="L2930" s="459" t="s">
        <v>538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Karat rączka 2,7m srebrny</v>
      </c>
      <c r="C2931" s="185">
        <f t="shared" si="91"/>
        <v>78.988799999999998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8493.3359199999995</v>
      </c>
      <c r="L2931" s="459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Rączka Karat 2,7 m oliwka</v>
      </c>
      <c r="C2932" s="185">
        <f t="shared" si="91"/>
        <v>94.854230000000001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10616.67</v>
      </c>
      <c r="L2932" s="459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Simple tor górny 1,5 m srebrny</v>
      </c>
      <c r="C2933" s="185">
        <f t="shared" si="91"/>
        <v>41.814579999999999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Simple tor górny 2 m srebrny</v>
      </c>
      <c r="C2934" s="185">
        <f t="shared" si="91"/>
        <v>52.592370000000003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5595.0597200000002</v>
      </c>
      <c r="L2934" s="459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Simple tor górny 2,5 m srebrny</v>
      </c>
      <c r="C2935" s="185">
        <f t="shared" si="91"/>
        <v>65.697199999999995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6998.9109799999997</v>
      </c>
      <c r="L2935" s="459" t="s">
        <v>540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Simple tor górny 3 m srebrny</v>
      </c>
      <c r="C2936" s="185">
        <f t="shared" si="91"/>
        <v>78.849220000000003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8392.5895899999996</v>
      </c>
      <c r="L2936" s="459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Simple tor górny 4 m srebrny</v>
      </c>
      <c r="C2937" s="185">
        <f t="shared" si="91"/>
        <v>105.13754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11190.119420000001</v>
      </c>
      <c r="L2937" s="459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Simple tor dolny 1,5 m srebrny</v>
      </c>
      <c r="C2938" s="185">
        <f t="shared" si="91"/>
        <v>21.998480000000001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Simple tor dolny 2 m srebrny</v>
      </c>
      <c r="C2939" s="185">
        <f t="shared" si="91"/>
        <v>27.562619999999999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3000.98659</v>
      </c>
      <c r="L2939" s="459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Simple tor dolny 2,5 m srebrny</v>
      </c>
      <c r="C2940" s="185">
        <f t="shared" si="91"/>
        <v>34.437539999999998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3723.25776</v>
      </c>
      <c r="L2940" s="459" t="s">
        <v>540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Simple tor dolny 3 m srebrny</v>
      </c>
      <c r="C2941" s="185">
        <f t="shared" si="91"/>
        <v>41.375390000000003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4384.4920899999997</v>
      </c>
      <c r="L2941" s="459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Simple tor dolny 4 m srebrny</v>
      </c>
      <c r="C2942" s="185">
        <f t="shared" si="91"/>
        <v>55.125230000000002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5869.7263800000001</v>
      </c>
      <c r="L2942" s="459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Simple tor górny 1,5 m jasny brąz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Simple tor górny 2 m oliwka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Simple tor górny 2,5 m oliwka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Simple tor górny 3 m oliwka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Simple tor górny 4 m oliwka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Simple tor dolny 1,5 m oliwka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Simple tor dolny 2 m oliwka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Simple tor dolny 2,5 m oliwka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Simple tor dolny 3 m oliwka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Simple tor dolny 4 m oliwka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tor dolny Simple/Blue 1,5m (do płyty laminowanej 18mm) srebrny</v>
      </c>
      <c r="C2953" s="185">
        <f t="shared" si="93"/>
        <v>24.998290000000001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2034.56717</v>
      </c>
      <c r="L2953" s="459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tor górny Simple/Blue 2m (do płyty laminowanej 18mm) srebrny</v>
      </c>
      <c r="C2954" s="185">
        <f t="shared" si="93"/>
        <v>33.336289999999998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2705.97417</v>
      </c>
      <c r="L2954" s="459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tor górny Simple/Blue 2,5 m (do płyty laminowanej 18 mm) srebrny</v>
      </c>
      <c r="C2955" s="185" t="e">
        <f t="shared" si="93"/>
        <v>#N/A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 t="e">
        <v>#N/A</v>
      </c>
      <c r="I2955" s="460" t="e">
        <v>#N/A</v>
      </c>
      <c r="J2955" s="460" t="e">
        <v>#N/A</v>
      </c>
      <c r="K2955" s="460" t="e">
        <v>#N/A</v>
      </c>
      <c r="L2955" s="459" t="e">
        <v>#N/A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listwa poz. górna Simple/Blue 2m (do płyty laminowanej 18mm) jasny brąz</v>
      </c>
      <c r="C2956" s="185">
        <f t="shared" si="93"/>
        <v>38.323360000000001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3357.0358299999998</v>
      </c>
      <c r="L2956" s="459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tor dolny Simple/Blue 2,5 m (do płyty laminowanej 18 mm) oliwka</v>
      </c>
      <c r="C2957" s="185" t="e">
        <f t="shared" si="93"/>
        <v>#N/A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 t="e">
        <v>#N/A</v>
      </c>
      <c r="I2957" s="460" t="e">
        <v>#N/A</v>
      </c>
      <c r="J2957" s="460" t="e">
        <v>#N/A</v>
      </c>
      <c r="K2957" s="460" t="e">
        <v>#N/A</v>
      </c>
      <c r="L2957" s="459" t="e">
        <v>#N/A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maskownica dolna Simple/Blue 1,5m (do płyty laminowanej 18mm) srebrny</v>
      </c>
      <c r="C2958" s="185">
        <f t="shared" si="93"/>
        <v>48.17165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3957.2333100000001</v>
      </c>
      <c r="L2958" s="459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maskownica dolna Simple/Blue 2m (do płyty laminowanej 18mm) srebrny</v>
      </c>
      <c r="C2959" s="185">
        <f t="shared" si="93"/>
        <v>64.234110000000001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5269.5288899999996</v>
      </c>
      <c r="L2959" s="459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maskownica dolna Simple/Blue 2,5 m (do płyty laminowanej 18 mm) srebrna</v>
      </c>
      <c r="C2960" s="185">
        <f t="shared" si="93"/>
        <v>80.296570000000003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6591.99755</v>
      </c>
      <c r="L2960" s="459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maskownica dolna Simple/Blue 2m (do płyty laminowanej 18mm) jasny brąz</v>
      </c>
      <c r="C2961" s="185">
        <f t="shared" si="93"/>
        <v>72.241739999999993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6530.9607100000003</v>
      </c>
      <c r="L2961" s="459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maskownica dolna Simple/Blue 2,5 m (do płyty laminowanej 18 mm) oliwka</v>
      </c>
      <c r="C2962" s="185" t="e">
        <f t="shared" si="93"/>
        <v>#N/A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 t="e">
        <v>#N/A</v>
      </c>
      <c r="I2962" s="460" t="e">
        <v>#N/A</v>
      </c>
      <c r="J2962" s="460" t="e">
        <v>#N/A</v>
      </c>
      <c r="K2962" s="460" t="e">
        <v>#N/A</v>
      </c>
      <c r="L2962" s="459" t="e">
        <v>#N/A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tor dolny Simple/Blue 1,5m (do płyty laminowanej 10mm) srebrny</v>
      </c>
      <c r="C2963" s="185">
        <f t="shared" si="93"/>
        <v>22.79579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2349.9249199999999</v>
      </c>
      <c r="L2963" s="459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tor dolny Simple/Blue 2m (do płyty laminowanej 10mm) srebrny</v>
      </c>
      <c r="C2964" s="185">
        <f t="shared" si="93"/>
        <v>30.410119999999999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3133.2333600000002</v>
      </c>
      <c r="L2964" s="459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tor górny Simple/Blue 2,5 m (do płyty laminowanej 10 mm) srebrny</v>
      </c>
      <c r="C2965" s="185" t="e">
        <f t="shared" si="93"/>
        <v>#N/A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 t="e">
        <v>#N/A</v>
      </c>
      <c r="I2965" s="460" t="e">
        <v>#N/A</v>
      </c>
      <c r="J2965" s="460" t="e">
        <v>#N/A</v>
      </c>
      <c r="K2965" s="460" t="e">
        <v>#N/A</v>
      </c>
      <c r="L2965" s="459" t="e">
        <v>#N/A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tor górny Simple/Blue 1,5 m (do płyty laminowanej 10 mm) oliwka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tor górny Simple/Blue 2 m (do płyty laminowanej 10 mm) oliwka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tor dolny Simple/Blue 2,5 m (do płyty laminowanej 10 mm) oliwka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maskownica dolna Simple/Blue 1,5m (do płyty laminowanej 10mm) srebrny</v>
      </c>
      <c r="C2969" s="185">
        <f t="shared" si="93"/>
        <v>34.248750000000001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3926.7144899999998</v>
      </c>
      <c r="L2969" s="459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maskownica dolna Simple/Blue 2m (do płyty laminowanej 10mm) srebrny</v>
      </c>
      <c r="C2970" s="185">
        <f t="shared" si="93"/>
        <v>45.701709999999999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5167.8005300000004</v>
      </c>
      <c r="L2970" s="459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maskownica dolna Simple/Blue 2,5 m (do płyty laminowanej 10 mm) srebrna</v>
      </c>
      <c r="C2971" s="185">
        <f t="shared" si="93"/>
        <v>57.107480000000002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6408.8865999999998</v>
      </c>
      <c r="L2971" s="459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maskownica dolna Simple/Blue 1,5 m (do płyty laminowanej 10 mm) oliwka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maskownica dolna Simple/Blue 2 m (do płyty laminowanej 10 mm) oliwka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maskownica dolna Simple/Blue 2,5 m (do płyty laminowanej 10 mm) oliwka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listwa łącząca Simple/Blue H21 3m (do płyty laminowanej 18mm) jasny brąz</v>
      </c>
      <c r="C2975" s="185">
        <f t="shared" si="93"/>
        <v>54.071179999999998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5584.8870299999999</v>
      </c>
      <c r="L2975" s="459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Symetric zestaw okuć do 2 skrzydeł</v>
      </c>
      <c r="C2976" s="185" t="e">
        <f t="shared" si="93"/>
        <v>#N/A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 t="e">
        <v>#N/A</v>
      </c>
      <c r="I2976" s="460" t="e">
        <v>#N/A</v>
      </c>
      <c r="J2976" s="460" t="e">
        <v>#N/A</v>
      </c>
      <c r="K2976" s="460" t="e">
        <v>#N/A</v>
      </c>
      <c r="L2976" s="459" t="e">
        <v>#N/A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Simple/Blue pozycjoner wózka górnego</v>
      </c>
      <c r="C2977" s="185">
        <f t="shared" si="93"/>
        <v>1.5743100000000001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184.52493999999999</v>
      </c>
      <c r="L2977" s="459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Exclusive tor górny 1,8m jasny brąz</v>
      </c>
      <c r="C2978" s="185">
        <f t="shared" si="93"/>
        <v>80.880240000000001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8945.4182500000006</v>
      </c>
      <c r="L2978" s="459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Elegant II tor dolny 6m jasny brąz szczotkowany</v>
      </c>
      <c r="C2979" s="185">
        <f t="shared" si="93"/>
        <v>0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0</v>
      </c>
      <c r="K2979" s="460">
        <v>21093.11968</v>
      </c>
      <c r="L2979" s="459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Elegant II tor dolny 6m koniak szczotkowany</v>
      </c>
      <c r="C2980" s="185" t="e">
        <f t="shared" si="93"/>
        <v>#N/A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 t="e">
        <v>#N/A</v>
      </c>
      <c r="I2980" s="460" t="e">
        <v>#N/A</v>
      </c>
      <c r="J2980" s="460" t="e">
        <v>#N/A</v>
      </c>
      <c r="K2980" s="460" t="e">
        <v>#N/A</v>
      </c>
      <c r="L2980" s="459" t="e">
        <v>#N/A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Elegant II tor dolny 6m czarny szczotkowany</v>
      </c>
      <c r="C2981" s="185">
        <f t="shared" si="93"/>
        <v>0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0</v>
      </c>
      <c r="K2981" s="460">
        <v>21093.11968</v>
      </c>
      <c r="L2981" s="459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Gemini tor górny 6m jasny brąz szczotkowany</v>
      </c>
      <c r="C2982" s="185">
        <f t="shared" si="93"/>
        <v>0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0</v>
      </c>
      <c r="K2982" s="460">
        <v>33021.850079999997</v>
      </c>
      <c r="L2982" s="459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Gemini tor górny 6m koniak szczotkowany</v>
      </c>
      <c r="C2983" s="185" t="e">
        <f t="shared" si="93"/>
        <v>#N/A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 t="e">
        <v>#N/A</v>
      </c>
      <c r="I2983" s="460" t="e">
        <v>#N/A</v>
      </c>
      <c r="J2983" s="460" t="e">
        <v>#N/A</v>
      </c>
      <c r="K2983" s="460" t="e">
        <v>#N/A</v>
      </c>
      <c r="L2983" s="459" t="e">
        <v>#N/A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Gemini tor górny 6m czarny szczotkowany</v>
      </c>
      <c r="C2984" s="185">
        <f t="shared" si="93"/>
        <v>0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0</v>
      </c>
      <c r="K2984" s="460">
        <v>33021.850079999997</v>
      </c>
      <c r="L2984" s="459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tłumienie 10/18mm 14-25kg lewe</v>
      </c>
      <c r="C2985" s="185">
        <f t="shared" si="93"/>
        <v>44.777999999999999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5064.1871000000001</v>
      </c>
      <c r="L2985" s="459" t="s">
        <v>538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tłumienie 10/18mm 14-25kg prawe</v>
      </c>
      <c r="C2986" s="185">
        <f t="shared" si="93"/>
        <v>44.777999999999999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5064.1871000000001</v>
      </c>
      <c r="L2986" s="459" t="s">
        <v>538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tłumienie 10/18mm 25-50kg lewe</v>
      </c>
      <c r="C2987" s="185">
        <f t="shared" si="93"/>
        <v>44.777999999999999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5064.1871000000001</v>
      </c>
      <c r="L2987" s="459" t="s">
        <v>538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tłumienie Sevromatic 10/18mm 25-50kg prawe</v>
      </c>
      <c r="C2988" s="185">
        <f t="shared" si="93"/>
        <v>44.777999999999999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5064.1871000000001</v>
      </c>
      <c r="L2988" s="459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tłumienie 10/18mm 14-25kg L+P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0</v>
      </c>
      <c r="I2989" s="460">
        <v>0</v>
      </c>
      <c r="J2989" s="460">
        <v>0</v>
      </c>
      <c r="K2989" s="460">
        <v>0</v>
      </c>
      <c r="L2989" s="459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tłumienie 10/18mm 25-50kg L+P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0</v>
      </c>
      <c r="I2990" s="460">
        <v>0</v>
      </c>
      <c r="J2990" s="460">
        <v>0</v>
      </c>
      <c r="K2990" s="460">
        <v>0</v>
      </c>
      <c r="L2990" s="459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listwa łącząca H10 Decor 3m jasny brąz</v>
      </c>
      <c r="C2991" s="185">
        <f t="shared" si="93"/>
        <v>57.7179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6460.1435300000003</v>
      </c>
      <c r="L2991" s="459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Comfort tor górny 6m srebrny</v>
      </c>
      <c r="C2992" s="185">
        <f t="shared" si="93"/>
        <v>0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0</v>
      </c>
      <c r="K2992" s="460">
        <v>40834.116679999999</v>
      </c>
      <c r="L2992" s="459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Comfort tor górny 6 m oliwka</v>
      </c>
      <c r="C2993" s="185">
        <f t="shared" si="93"/>
        <v>0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0</v>
      </c>
      <c r="K2993" s="460">
        <v>51020.110520000002</v>
      </c>
      <c r="L2993" s="459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Comfort tor górny 2,35m srebrny</v>
      </c>
      <c r="C2994" s="185">
        <f t="shared" si="93"/>
        <v>149.685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15995.115159999999</v>
      </c>
      <c r="L2994" s="459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Comfort tor górny 3m srebrny</v>
      </c>
      <c r="C2995" s="185">
        <f t="shared" si="93"/>
        <v>191.09700000000001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20412.050360000001</v>
      </c>
      <c r="L2995" s="459" t="s">
        <v>539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wózek górny Gemini symetryczny 10mm - 2szt</v>
      </c>
      <c r="C2996" s="185">
        <f t="shared" si="93"/>
        <v>23.174399999999999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2040.0269000000001</v>
      </c>
      <c r="L2996" s="459" t="s">
        <v>538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Focus wózek górny 18mm 2szt</v>
      </c>
      <c r="C2997" s="185">
        <f t="shared" si="93"/>
        <v>13.907170000000001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1547.9598100000001</v>
      </c>
      <c r="L2997" s="459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profil "U" do płyty laminowanej 16mm 3m srebrny</v>
      </c>
      <c r="C2998" s="185">
        <f t="shared" si="93"/>
        <v>20.7774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2323.6486100000002</v>
      </c>
      <c r="L2998" s="459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Beta 16 rączka 2,70 m srebrny</v>
      </c>
      <c r="C2999" s="185">
        <f t="shared" si="93"/>
        <v>29.4984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3024.74946</v>
      </c>
      <c r="L2999" s="459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Ergo 16 rączka 2,7 m srebrna</v>
      </c>
      <c r="C3000" s="185" t="e">
        <f t="shared" si="93"/>
        <v>#N/A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 t="e">
        <v>#N/A</v>
      </c>
      <c r="I3000" s="460" t="e">
        <v>#N/A</v>
      </c>
      <c r="J3000" s="460" t="e">
        <v>#N/A</v>
      </c>
      <c r="K3000" s="460" t="e">
        <v>#N/A</v>
      </c>
      <c r="L3000" s="459" t="e">
        <v>#N/A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Fiesta 16 rączka 2,7 m srebrna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Universal 16 rączka 2,7 m srebrna</v>
      </c>
      <c r="C3002" s="185" t="e">
        <f t="shared" si="93"/>
        <v>#N/A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 t="e">
        <v>#N/A</v>
      </c>
      <c r="I3002" s="460" t="e">
        <v>#N/A</v>
      </c>
      <c r="J3002" s="460" t="e">
        <v>#N/A</v>
      </c>
      <c r="K3002" s="460" t="e">
        <v>#N/A</v>
      </c>
      <c r="L3002" s="459" t="e">
        <v>#N/A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szczotka odbojowa bez kleju 4,8x4mm</v>
      </c>
      <c r="C3003" s="185">
        <f t="shared" si="93"/>
        <v>0.35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35.639870000000002</v>
      </c>
      <c r="L3003" s="459" t="s">
        <v>538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wózek dolny WD18V (2x wózek+pozycjoner) ze sprężyną</v>
      </c>
      <c r="C3004" s="185" t="e">
        <f t="shared" si="93"/>
        <v>#N/A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 t="e">
        <v>#N/A</v>
      </c>
      <c r="I3004" s="460" t="e">
        <v>#N/A</v>
      </c>
      <c r="J3004" s="460" t="e">
        <v>#N/A</v>
      </c>
      <c r="K3004" s="460" t="e">
        <v>#N/A</v>
      </c>
      <c r="L3004" s="459" t="e">
        <v>#N/A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Maxim wózek górny 18mm - 2szt</v>
      </c>
      <c r="C3005" s="185">
        <f t="shared" si="93"/>
        <v>24.2668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2849.8865099999998</v>
      </c>
      <c r="L3005" s="459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wózek dolny WD 18C HI-TEC - 2szt</v>
      </c>
      <c r="C3006" s="185">
        <f t="shared" si="93"/>
        <v>17.546399999999998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2060.5293299999998</v>
      </c>
      <c r="L3006" s="459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wózek dolny WD 10C HI-TEC - 2szt</v>
      </c>
      <c r="C3007" s="185">
        <f t="shared" si="93"/>
        <v>26.3874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2624.35581</v>
      </c>
      <c r="L3007" s="459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Master wózek górny 10mm - 2szt</v>
      </c>
      <c r="C3008" s="185">
        <f t="shared" si="93"/>
        <v>25.3689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2993.4061299999998</v>
      </c>
      <c r="L3008" s="459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Maxim wózek górny 18mm - 2 szt.</v>
      </c>
      <c r="C3009" s="185" t="e">
        <f t="shared" si="93"/>
        <v>#N/A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 t="e">
        <v>#N/A</v>
      </c>
      <c r="I3009" s="460" t="e">
        <v>#N/A</v>
      </c>
      <c r="J3009" s="460" t="e">
        <v>#N/A</v>
      </c>
      <c r="K3009" s="460" t="e">
        <v>#N/A</v>
      </c>
      <c r="L3009" s="459" t="e">
        <v>#N/A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wózek dolny Simple/Blue V (system ramowy) - 2szt</v>
      </c>
      <c r="C3010" s="185">
        <f t="shared" si="93"/>
        <v>16.17259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1076.396</v>
      </c>
      <c r="L3010" s="459" t="s">
        <v>538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wózek dolny Simple (bezramowy 18mm) - 2szt</v>
      </c>
      <c r="C3011" s="185">
        <f t="shared" si="93"/>
        <v>13.88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1629.97126</v>
      </c>
      <c r="L3011" s="459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Simple/Blue pozycjoner wózka dolnego</v>
      </c>
      <c r="C3012" s="185">
        <f t="shared" ref="C3012:C3075" si="95">IF($A$2=1,H3012,IF($A$2=2,I3012,IF($A$2=3,J3012,IF($A$2=4,K3012,IF($A$2&gt;4,O3012,"zadat jazyk")))))</f>
        <v>1.2257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143.51965000000001</v>
      </c>
      <c r="L3012" s="459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maskownica Herkules Glass 2m srebrny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zaślepka maskownicy toru Herkules Glas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Optima tłumienie komplet L+P</v>
      </c>
      <c r="C3015" s="185">
        <f t="shared" si="95"/>
        <v>198.7062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22091.74668</v>
      </c>
      <c r="L3015" s="459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Fiona II rączka 2,7m srebrna</v>
      </c>
      <c r="C3016" s="185" t="e">
        <f t="shared" si="95"/>
        <v>#N/A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 t="e">
        <v>#N/A</v>
      </c>
      <c r="I3016" s="460" t="e">
        <v>#N/A</v>
      </c>
      <c r="J3016" s="460" t="e">
        <v>#N/A</v>
      </c>
      <c r="K3016" s="460" t="e">
        <v>#N/A</v>
      </c>
      <c r="L3016" s="459" t="e">
        <v>#N/A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Exclusive tor górny 3,6m srebrny</v>
      </c>
      <c r="C3017" s="185" t="e">
        <f t="shared" si="95"/>
        <v>#N/A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 t="e">
        <v>#N/A</v>
      </c>
      <c r="I3017" s="460" t="e">
        <v>#N/A</v>
      </c>
      <c r="J3017" s="460" t="e">
        <v>#N/A</v>
      </c>
      <c r="K3017" s="460" t="e">
        <v>#N/A</v>
      </c>
      <c r="L3017" s="459" t="e">
        <v>#N/A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Łącznik H16-Decor srebrny-3 m</v>
      </c>
      <c r="C3018" s="185">
        <f t="shared" si="95"/>
        <v>48.042000000000002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4617.2497100000001</v>
      </c>
      <c r="L3018" s="459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Łącznik H16 3 m oliwka</v>
      </c>
      <c r="C3019" s="185" t="e">
        <f t="shared" si="95"/>
        <v>#N/A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 t="e">
        <v>#N/A</v>
      </c>
      <c r="I3019" s="460" t="e">
        <v>#N/A</v>
      </c>
      <c r="J3019" s="460" t="e">
        <v>#N/A</v>
      </c>
      <c r="K3019" s="460" t="e">
        <v>#N/A</v>
      </c>
      <c r="L3019" s="459" t="e">
        <v>#N/A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Łącznik H08/16 srebrny-3m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Łącznik H08/16 oliwka-3m</v>
      </c>
      <c r="C3021" s="185" t="e">
        <f t="shared" si="95"/>
        <v>#N/A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 t="e">
        <v>#N/A</v>
      </c>
      <c r="I3021" s="460" t="e">
        <v>#N/A</v>
      </c>
      <c r="J3021" s="460" t="e">
        <v>#N/A</v>
      </c>
      <c r="K3021" s="460" t="e">
        <v>#N/A</v>
      </c>
      <c r="L3021" s="459" t="e">
        <v>#N/A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Maxim tor górny 4,3m jasny brąz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Maxim II tor dolny 4,3m jasny brąz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Maxim II zaślepka do toru 4,3m jasny brąz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Prosper II rączka 2,7 m oliwka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Maxim tor 4,3 m oliwka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Maxim maskownica dolna 4,3 m 18mm oliwka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Maxim listwa łącząca H18 1,8m jasny brąz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Maxim listwa łącząca H18 2,5m jasny brąz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Maxim listwa łącząca H25 1,8m jasny brąz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Maxim listwa łącząca H25 2,5m jasny brąz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pudełko wzorów profili Simple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- Łącznik Simple/Blue H25 3 m (16 mm) srebrny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-Łącznik Simple/Blue H25 3 m (16 mm) oliwka</v>
      </c>
      <c r="C3034" s="185" t="e">
        <f t="shared" si="95"/>
        <v>#N/A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 t="e">
        <v>#N/A</v>
      </c>
      <c r="I3034" s="460" t="e">
        <v>#N/A</v>
      </c>
      <c r="J3034" s="460" t="e">
        <v>#N/A</v>
      </c>
      <c r="K3034" s="460" t="e">
        <v>#N/A</v>
      </c>
      <c r="L3034" s="459" t="e">
        <v>#N/A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szczotka odbojowa bez kleju 14,5x4 mm, 50 m</v>
      </c>
      <c r="C3035" s="185">
        <f t="shared" si="95"/>
        <v>68.401200000000003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6068.8232900000003</v>
      </c>
      <c r="L3035" s="459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045690Focus II 16 mm rączka 2,7 m, srebrna</v>
      </c>
      <c r="C3036" s="185">
        <f t="shared" si="95"/>
        <v>28.545750000000002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3195.0168899999999</v>
      </c>
      <c r="L3036" s="459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Focus II 18mm rączka 2,7m srebrny</v>
      </c>
      <c r="C3037" s="185">
        <f t="shared" si="95"/>
        <v>28.545750000000002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3195.0168899999999</v>
      </c>
      <c r="L3037" s="459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Focus II 18mm rączka 2,7m jasny brąz</v>
      </c>
      <c r="C3038" s="185">
        <f t="shared" si="95"/>
        <v>36.509929999999997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4086.4163100000001</v>
      </c>
      <c r="L3038" s="459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Oaza II rączka 2,7m srebrny</v>
      </c>
      <c r="C3039" s="185">
        <f t="shared" si="95"/>
        <v>64.823660000000004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5548.7125900000001</v>
      </c>
      <c r="L3039" s="459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Oaza II rączka 2,7m jasny brąz</v>
      </c>
      <c r="C3040" s="185">
        <f t="shared" si="95"/>
        <v>72.050979999999996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6490.1906399999998</v>
      </c>
      <c r="L3040" s="459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Oaza II rączka 2,7 m złota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Hide N tor dolny 6 m, srebrny</v>
      </c>
      <c r="C3042" s="185">
        <f t="shared" si="95"/>
        <v>0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0</v>
      </c>
      <c r="K3042" s="460">
        <v>9603.3140800000001</v>
      </c>
      <c r="L3042" s="459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Hide N tor dolny 1,7 m, srebrny</v>
      </c>
      <c r="C3043" s="185">
        <f t="shared" si="95"/>
        <v>24.60145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2719.9571500000002</v>
      </c>
      <c r="L3043" s="459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Zaślepka toru Single z pozycjonerem</v>
      </c>
      <c r="C3044" s="185">
        <f t="shared" si="95"/>
        <v>92.155529999999999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10192.47445</v>
      </c>
      <c r="L3044" s="459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wspornik ścienny do toru Single</v>
      </c>
      <c r="C3045" s="185" t="e">
        <f t="shared" si="95"/>
        <v>#N/A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 t="e">
        <v>#N/A</v>
      </c>
      <c r="I3045" s="460" t="e">
        <v>#N/A</v>
      </c>
      <c r="J3045" s="460" t="e">
        <v>#N/A</v>
      </c>
      <c r="K3045" s="460" t="e">
        <v>#N/A</v>
      </c>
      <c r="L3045" s="459" t="e">
        <v>#N/A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Gemini tor górny 3 m, biały połysk</v>
      </c>
      <c r="C3046" s="185">
        <f t="shared" si="95"/>
        <v>131.79419999999999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12499.626490000001</v>
      </c>
      <c r="L3046" s="459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listwa łącząca H18 3m biały połysk</v>
      </c>
      <c r="C3047" s="185">
        <f t="shared" si="95"/>
        <v>62.464799999999997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5999.42029</v>
      </c>
      <c r="L3047" s="459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Elegant II tor dolny 3 m, biały połysk</v>
      </c>
      <c r="C3048" s="185">
        <f t="shared" si="95"/>
        <v>71.808000000000007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7291.4487600000002</v>
      </c>
      <c r="L3048" s="459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Faworyt II rączka 2,7m biały połysk</v>
      </c>
      <c r="C3049" s="185">
        <f t="shared" si="95"/>
        <v>60.088200000000001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6299.8920699999999</v>
      </c>
      <c r="L3049" s="459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zabierak do tłumienia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Simple/Blue element montażowy do płyty laminowanej 10/18mm</v>
      </c>
      <c r="C3051" s="185">
        <f t="shared" si="95"/>
        <v>50.611429999999999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273.41048000000001</v>
      </c>
      <c r="I3051" s="460">
        <v>12.017609999999999</v>
      </c>
      <c r="J3051" s="460">
        <v>50.611429999999999</v>
      </c>
      <c r="K3051" s="460">
        <v>4298.9068900000002</v>
      </c>
      <c r="L3051" s="459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element montażowy do systemu Maxim mały</v>
      </c>
      <c r="C3052" s="185" t="e">
        <f t="shared" si="95"/>
        <v>#N/A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 t="e">
        <v>#N/A</v>
      </c>
      <c r="I3052" s="460" t="e">
        <v>#N/A</v>
      </c>
      <c r="J3052" s="460" t="e">
        <v>#N/A</v>
      </c>
      <c r="K3052" s="460" t="e">
        <v>#N/A</v>
      </c>
      <c r="L3052" s="459" t="e">
        <v>#N/A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kątownik 18x18mm 3m srebrny</v>
      </c>
      <c r="C3053" s="185">
        <f t="shared" si="95"/>
        <v>35.812199999999997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3745.88184</v>
      </c>
      <c r="L3053" s="459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Optima tor dolny 6m surowy</v>
      </c>
      <c r="C3054" s="185" t="e">
        <f t="shared" si="95"/>
        <v>#N/A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 t="e">
        <v>#N/A</v>
      </c>
      <c r="I3054" s="460" t="e">
        <v>#N/A</v>
      </c>
      <c r="J3054" s="460" t="e">
        <v>#N/A</v>
      </c>
      <c r="K3054" s="460" t="e">
        <v>#N/A</v>
      </c>
      <c r="L3054" s="459" t="e">
        <v>#N/A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Optima tor górny 6m srebrny</v>
      </c>
      <c r="C3055" s="185" t="e">
        <f t="shared" si="95"/>
        <v>#N/A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 t="e">
        <v>#N/A</v>
      </c>
      <c r="I3055" s="460" t="e">
        <v>#N/A</v>
      </c>
      <c r="J3055" s="460" t="e">
        <v>#N/A</v>
      </c>
      <c r="K3055" s="460" t="e">
        <v>#N/A</v>
      </c>
      <c r="L3055" s="459" t="e">
        <v>#N/A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Fox II rączka 2,7m biały połysk</v>
      </c>
      <c r="C3056" s="185">
        <f t="shared" si="95"/>
        <v>80.416799999999995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8313.0529399999996</v>
      </c>
      <c r="L3056" s="459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listwa pozioma górna 3m biały połysk</v>
      </c>
      <c r="C3057" s="185">
        <f t="shared" si="95"/>
        <v>105.8454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7131.1972999999998</v>
      </c>
      <c r="L3057" s="459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listwa pozioma dolna 3 m 10 mm, biały połysk</v>
      </c>
      <c r="C3058" s="185">
        <f t="shared" si="95"/>
        <v>124.22580000000001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12960.35014</v>
      </c>
      <c r="L3058" s="459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kątownik Mini 17x11 mm 3 m, biały połysk</v>
      </c>
      <c r="C3059" s="185">
        <f t="shared" si="95"/>
        <v>21.583200000000001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2163.3967400000001</v>
      </c>
      <c r="L3059" s="459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tor górny 2,35 m, biały połysk</v>
      </c>
      <c r="C3060" s="185">
        <f t="shared" si="95"/>
        <v>103.20359999999999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9795.3803599999992</v>
      </c>
      <c r="L3060" s="459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listwa pozioma górna 2,35m biały połysk</v>
      </c>
      <c r="C3061" s="185">
        <f t="shared" si="95"/>
        <v>82.936199999999999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5588.7752499999997</v>
      </c>
      <c r="L3061" s="459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dolna maskownica 2,35 m 10 mm, biały połysk</v>
      </c>
      <c r="C3062" s="185">
        <f t="shared" si="95"/>
        <v>97.287599999999998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10125.899240000001</v>
      </c>
      <c r="L3062" s="459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kątownik 22x22mm 3m srebrny</v>
      </c>
      <c r="C3063" s="185">
        <f t="shared" si="95"/>
        <v>37.790999999999997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3946.1963700000001</v>
      </c>
      <c r="L3063" s="459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kątownik 10x10mm 3m srebrny</v>
      </c>
      <c r="C3064" s="185">
        <f t="shared" si="95"/>
        <v>15.2898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1602.5162399999999</v>
      </c>
      <c r="L3064" s="459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kątownik 10x18mm 3m srebrny</v>
      </c>
      <c r="C3065" s="185">
        <f t="shared" si="95"/>
        <v>21.012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2193.4442399999998</v>
      </c>
      <c r="L3065" s="459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Zestaw okuć ZSE-18 PLUS Prince</v>
      </c>
      <c r="C3066" s="185" t="e">
        <f t="shared" si="95"/>
        <v>#N/A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 t="e">
        <v>#N/A</v>
      </c>
      <c r="I3066" s="460" t="e">
        <v>#N/A</v>
      </c>
      <c r="J3066" s="460" t="e">
        <v>#N/A</v>
      </c>
      <c r="K3066" s="460" t="e">
        <v>#N/A</v>
      </c>
      <c r="L3066" s="459" t="e">
        <v>#N/A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Alfa II rączka 18mm 2,7m biały połysk</v>
      </c>
      <c r="C3067" s="185">
        <f t="shared" si="95"/>
        <v>66.463200000000001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6329.9391800000003</v>
      </c>
      <c r="L3067" s="459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kątownik Mini 17x11 mm 3 m, biały matowy</v>
      </c>
      <c r="C3068" s="185">
        <f t="shared" si="95"/>
        <v>21.583200000000001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2163.3967400000001</v>
      </c>
      <c r="L3068" s="459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kątownik Mini 17x11 mm 2,35 m, biały połysk</v>
      </c>
      <c r="C3069" s="185">
        <f t="shared" si="95"/>
        <v>16.901399999999999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1692.6579200000001</v>
      </c>
      <c r="L3069" s="459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kątownik Mini 17x11 mm 1,7 m, biały połysk</v>
      </c>
      <c r="C3070" s="185">
        <f t="shared" si="95"/>
        <v>12.2094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1221.9187199999999</v>
      </c>
      <c r="L3070" s="459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dolna maskownica 1,7 m 10 mm, biały połysk</v>
      </c>
      <c r="C3071" s="185">
        <f t="shared" si="95"/>
        <v>70.369799999999998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7331.51181</v>
      </c>
      <c r="L3071" s="459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listwa pozioma górna 1,7m biały połysk</v>
      </c>
      <c r="C3072" s="185">
        <f t="shared" si="95"/>
        <v>59.986199999999997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4036.3376800000001</v>
      </c>
      <c r="L3072" s="459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listwa łącząca H08/18, 3 m, biała matowa</v>
      </c>
      <c r="C3073" s="185">
        <f t="shared" si="95"/>
        <v>42.829799999999999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4416.9351999999999</v>
      </c>
      <c r="L3073" s="459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listwa łącząca H10 3m biały połysk</v>
      </c>
      <c r="C3074" s="185">
        <f t="shared" si="95"/>
        <v>67.289400000000001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6089.5615900000003</v>
      </c>
      <c r="L3074" s="459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Faworyt II rączka 2,7 m, biała matowa</v>
      </c>
      <c r="C3075" s="185">
        <f t="shared" si="95"/>
        <v>60.088200000000001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6299.8920699999999</v>
      </c>
      <c r="L3075" s="459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Elegant II tor dolny 3 m, biały matowy</v>
      </c>
      <c r="C3076" s="185">
        <f t="shared" ref="C3076:C3139" si="97">IF($A$2=1,H3076,IF($A$2=2,I3076,IF($A$2=3,J3076,IF($A$2=4,K3076,IF($A$2&gt;4,O3076,"zadat jazyk")))))</f>
        <v>71.808000000000007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7291.4487600000002</v>
      </c>
      <c r="L3076" s="459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Elegant II tor dolny 1,7 m, biały połysk</v>
      </c>
      <c r="C3077" s="185">
        <f t="shared" si="97"/>
        <v>40.698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4176.5579900000002</v>
      </c>
      <c r="L3077" s="459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Elegant II tor dolny 2,35 m, biały połysk</v>
      </c>
      <c r="C3078" s="185">
        <f t="shared" si="97"/>
        <v>56.242800000000003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5739.01116</v>
      </c>
      <c r="L3078" s="459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Elegant II tor dolny 4,05 m, biały połysk</v>
      </c>
      <c r="C3079" s="185">
        <f t="shared" si="97"/>
        <v>96.930599999999998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9875.5060699999995</v>
      </c>
      <c r="L3079" s="459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Gemini tor górny 4,05 m, biały połysk</v>
      </c>
      <c r="C3080" s="185">
        <f t="shared" si="97"/>
        <v>177.9186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16876.499019999999</v>
      </c>
      <c r="L3080" s="459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Gemini tor górny 1,7 m, biały połysk</v>
      </c>
      <c r="C3081" s="185">
        <f t="shared" si="97"/>
        <v>74.653800000000004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7081.1186600000001</v>
      </c>
      <c r="L3081" s="459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Pax rączka 2,7m srebrny</v>
      </c>
      <c r="C3082" s="185">
        <f t="shared" si="97"/>
        <v>78.988799999999998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7962.5024999999996</v>
      </c>
      <c r="L3082" s="459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Pax rączka 3m srebrny</v>
      </c>
      <c r="C3083" s="185">
        <f t="shared" si="97"/>
        <v>87.771000000000001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8853.9022999999997</v>
      </c>
      <c r="L3083" s="459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Pax listwa pozioma górna 3m srebrny</v>
      </c>
      <c r="C3084" s="185">
        <f t="shared" si="97"/>
        <v>86.302199999999999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8693.6504600000007</v>
      </c>
      <c r="L3084" s="459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Gemini 4 maskownica dolna 3 m 4 mm, srebrna</v>
      </c>
      <c r="C3085" s="185">
        <f t="shared" si="97"/>
        <v>99.296999999999997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10015.726420000001</v>
      </c>
      <c r="L3085" s="459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Pax záslepka do rączki (4 szt) srebrny</v>
      </c>
      <c r="C3086" s="185">
        <f t="shared" si="97"/>
        <v>26.683199999999999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2747.3726000000001</v>
      </c>
      <c r="L3086" s="459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Gemini rączka 2,7m czarny mat</v>
      </c>
      <c r="C3087" s="185">
        <f t="shared" si="97"/>
        <v>102.67319999999999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9454.8458900000005</v>
      </c>
      <c r="L3087" s="459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Single tor górny 6m srebrny</v>
      </c>
      <c r="C3088" s="185">
        <f t="shared" si="97"/>
        <v>0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0</v>
      </c>
      <c r="K3088" s="460">
        <v>20311.893090000001</v>
      </c>
      <c r="L3088" s="459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Hide N tor dolny 6 m, jasny brąz</v>
      </c>
      <c r="C3089" s="185">
        <f t="shared" si="97"/>
        <v>0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0</v>
      </c>
      <c r="K3089" s="460">
        <v>11252.96305</v>
      </c>
      <c r="L3089" s="459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tor górny INTER S 35kg do sufitu 2m</v>
      </c>
      <c r="C3090" s="185" t="e">
        <f t="shared" si="97"/>
        <v>#N/A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 t="e">
        <v>#N/A</v>
      </c>
      <c r="I3090" s="460" t="e">
        <v>#N/A</v>
      </c>
      <c r="J3090" s="460" t="e">
        <v>#N/A</v>
      </c>
      <c r="K3090" s="460" t="e">
        <v>#N/A</v>
      </c>
      <c r="L3090" s="459" t="e">
        <v>#N/A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tor górny INTER S 35kg do sufitu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tor górny INTER S 35kg do sufitu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tor górny INTER B 35kg do ściany 2m</v>
      </c>
      <c r="C3093" s="185" t="e">
        <f t="shared" si="97"/>
        <v>#N/A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 t="e">
        <v>#N/A</v>
      </c>
      <c r="I3093" s="460" t="e">
        <v>#N/A</v>
      </c>
      <c r="J3093" s="460" t="e">
        <v>#N/A</v>
      </c>
      <c r="K3093" s="460" t="e">
        <v>#N/A</v>
      </c>
      <c r="L3093" s="459" t="e">
        <v>#N/A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tor górny INTER B 35kg do ściany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tor górny INTER B 35kg do ściany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tor górny Galaxy S 50kg do sufitu 2m</v>
      </c>
      <c r="C3096" s="185">
        <f t="shared" si="97"/>
        <v>42.508749999999999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4703.4638500000001</v>
      </c>
      <c r="L3096" s="459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tor górny Galaxy S 50kg do sufitu 3m</v>
      </c>
      <c r="C3097" s="185">
        <f t="shared" si="97"/>
        <v>63.678759999999997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7040.4665999999997</v>
      </c>
      <c r="L3097" s="459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tor górny Galaxy S 50kg do sufitu 6m</v>
      </c>
      <c r="C3098" s="185">
        <f t="shared" si="97"/>
        <v>0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0</v>
      </c>
      <c r="K3098" s="460">
        <v>14090.752350000001</v>
      </c>
      <c r="L3098" s="459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tor górny Galaxy B 50kg do ściany 2m</v>
      </c>
      <c r="C3099" s="185">
        <f t="shared" si="97"/>
        <v>44.6173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4939.1277499999997</v>
      </c>
      <c r="L3099" s="459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tor górny Galaxy B 50kg do ściany 3m</v>
      </c>
      <c r="C3100" s="185">
        <f t="shared" si="97"/>
        <v>66.968130000000002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7403.7822299999998</v>
      </c>
      <c r="L3100" s="459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tor górny Galaxy B 50kg do ściany 6m</v>
      </c>
      <c r="C3101" s="185">
        <f t="shared" si="97"/>
        <v>0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0</v>
      </c>
      <c r="K3101" s="460">
        <v>14817.38365</v>
      </c>
      <c r="L3101" s="459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maskownica Galaxy 2m</v>
      </c>
      <c r="C3102" s="185">
        <f t="shared" si="97"/>
        <v>39.507919999999999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4369.6061300000001</v>
      </c>
      <c r="L3102" s="459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maskownica Galaxy 3m</v>
      </c>
      <c r="C3103" s="185">
        <f t="shared" si="97"/>
        <v>59.217480000000002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6549.4996000000001</v>
      </c>
      <c r="L3103" s="459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maskownica Galaxy 6m</v>
      </c>
      <c r="C3104" s="185">
        <f t="shared" si="97"/>
        <v>0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0</v>
      </c>
      <c r="K3104" s="460">
        <v>13138.27635</v>
      </c>
      <c r="L3104" s="459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Pax listwa montażowa 3m srebrny</v>
      </c>
      <c r="C3105" s="185">
        <f t="shared" si="97"/>
        <v>101.1024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11147.503419999999</v>
      </c>
      <c r="L3105" s="459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tłumienie Central 10/18mm obustronne 25-40kg</v>
      </c>
      <c r="C3106" s="185">
        <f t="shared" si="97"/>
        <v>206.958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19364.876939999998</v>
      </c>
      <c r="L3106" s="459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tłumienie Mini SV40 (25 - 40kg)</v>
      </c>
      <c r="C3107" s="185">
        <f t="shared" si="97"/>
        <v>96.889799999999994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9041.7265599999992</v>
      </c>
      <c r="L3107" s="459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Pax rączka 2,7 m, biały połysk</v>
      </c>
      <c r="C3108" s="185">
        <f t="shared" si="97"/>
        <v>102.67319999999999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10356.261270000001</v>
      </c>
      <c r="L3108" s="459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Pax rączka 3 m, biały połysk</v>
      </c>
      <c r="C3109" s="185">
        <f t="shared" si="97"/>
        <v>114.07680000000001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11508.069799999999</v>
      </c>
      <c r="L3109" s="459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Pax tor dolny 3m biały połysk</v>
      </c>
      <c r="C3110" s="185">
        <f t="shared" si="97"/>
        <v>112.2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11297.73933</v>
      </c>
      <c r="L3110" s="459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Pax maskownica dolna 3m 4mm biały połysk</v>
      </c>
      <c r="C3111" s="185">
        <f t="shared" si="97"/>
        <v>129.11160000000001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13020.44433</v>
      </c>
      <c r="L3111" s="459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Pax zaślepka do rączki (4 szt), biały połysk</v>
      </c>
      <c r="C3112" s="185">
        <f t="shared" si="97"/>
        <v>34.68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3567.4838199999999</v>
      </c>
      <c r="L3112" s="459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Rex rączka 2,7m srebrny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Maxim wózek górny 18mm asymetryczny - 2szt</v>
      </c>
      <c r="C3114" s="185">
        <f t="shared" si="97"/>
        <v>24.2668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2849.8865099999998</v>
      </c>
      <c r="L3114" s="459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tor górny INTER S 35kg do sufitu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tor górny INTER B 35kg do ściany 1,5m</v>
      </c>
      <c r="C3116" s="185" t="e">
        <f t="shared" si="97"/>
        <v>#N/A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 t="e">
        <v>#N/A</v>
      </c>
      <c r="I3116" s="460" t="e">
        <v>#N/A</v>
      </c>
      <c r="J3116" s="460" t="e">
        <v>#N/A</v>
      </c>
      <c r="K3116" s="460" t="e">
        <v>#N/A</v>
      </c>
      <c r="L3116" s="459" t="e">
        <v>#N/A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Rex rączka 2,7m jasny brąz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Focus II 16 mm rączka 2,7 m, złota</v>
      </c>
      <c r="C3118" s="185">
        <f t="shared" si="97"/>
        <v>36.509929999999997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4086.4163100000001</v>
      </c>
      <c r="L3118" s="459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Focus II 18 mm rączka 2,7 m, złota</v>
      </c>
      <c r="C3119" s="185">
        <f t="shared" si="97"/>
        <v>36.509929999999997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4086.4163100000001</v>
      </c>
      <c r="L3119" s="459" t="s">
        <v>539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Uno rączka 18 mm 2,70 m, srebrna</v>
      </c>
      <c r="C3120" s="185">
        <f t="shared" si="97"/>
        <v>40.982089999999999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4659.1587399999999</v>
      </c>
      <c r="L3120" s="459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Uno rączka 18mm 2,70m, jasny brąz</v>
      </c>
      <c r="C3121" s="185">
        <f t="shared" si="97"/>
        <v>48.53633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5656.0965699999997</v>
      </c>
      <c r="L3121" s="459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wózek górny Simple 18mm symetryczny L+P</v>
      </c>
      <c r="C3122" s="185">
        <f t="shared" si="97"/>
        <v>7.5828699999999998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778.25313000000006</v>
      </c>
      <c r="L3122" s="459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Maxim tor 2,5 m, jsny brąz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Maxim maskownica dolna 2,5 m, jasny brąz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Maxim tor 3,5m, jasny brąz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Maxim maskownica dolna 3,5m 18mm, jasny brąz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Maxim tor górny 2,5m jasny brąz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Maxim tor górny 3,5m jasny brąz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Maxim II tor dolny 2,5m jasny brąz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Maxim II tor dolny 3,5m jasny brąz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Maxim II maskownica 2,5m, jasny brąz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Maxim II maskownica 3,5m, jasny brąz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Pax uchwyt przyklejany biały</v>
      </c>
      <c r="C3133" s="185">
        <f t="shared" si="97"/>
        <v>31.518000000000001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3084.84366</v>
      </c>
      <c r="L3133" s="459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Pax uchwyt przyklejany srebrny</v>
      </c>
      <c r="C3134" s="185">
        <f t="shared" si="97"/>
        <v>24.255600000000001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2373.7272499999999</v>
      </c>
      <c r="L3134" s="459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Alfa II rączka 18mm 2,7m czarny mat</v>
      </c>
      <c r="C3135" s="185">
        <f t="shared" si="97"/>
        <v>66.463200000000001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6329.9391800000003</v>
      </c>
      <c r="L3135" s="459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Linea drążek meblowy owalny 3m srebrny</v>
      </c>
      <c r="C3136" s="185">
        <f t="shared" si="97"/>
        <v>50.887799999999999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5618.8223600000001</v>
      </c>
      <c r="L3136" s="459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Linea łącznik kątowy profili</v>
      </c>
      <c r="C3137" s="185">
        <f t="shared" si="97"/>
        <v>4.5084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500.78631000000001</v>
      </c>
      <c r="L3137" s="459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Linea mocowanie ścienne / sufitowe</v>
      </c>
      <c r="C3138" s="185">
        <f t="shared" si="97"/>
        <v>3.9066000000000001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430.67615999999998</v>
      </c>
      <c r="L3138" s="459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Linea nóżka z regulacją</v>
      </c>
      <c r="C3139" s="185">
        <f t="shared" si="97"/>
        <v>9.9857999999999993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1101.7299</v>
      </c>
      <c r="L3139" s="459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Linea drążek meblowy okrągły 3 m alu srebrny</v>
      </c>
      <c r="C3140" s="185">
        <f t="shared" ref="C3140:C3203" si="99">IF($A$2=1,H3140,IF($A$2=2,I3140,IF($A$2=3,J3140,IF($A$2=4,K3140,IF($A$2&gt;4,O3140,"zadat jazyk")))))</f>
        <v>32.4831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3635.7085999999999</v>
      </c>
      <c r="L3140" s="459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Linea drążek meblowy okrągły 4 m, srebrny</v>
      </c>
      <c r="C3141" s="185" t="e">
        <f t="shared" si="99"/>
        <v>#N/A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 t="e">
        <v>#N/A</v>
      </c>
      <c r="I3141" s="460" t="e">
        <v>#N/A</v>
      </c>
      <c r="J3141" s="460" t="e">
        <v>#N/A</v>
      </c>
      <c r="K3141" s="460" t="e">
        <v>#N/A</v>
      </c>
      <c r="L3141" s="459" t="e">
        <v>#N/A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Linea Profil wnętrza 3 m, srebrny</v>
      </c>
      <c r="C3142" s="185">
        <f t="shared" si="99"/>
        <v>117.40448000000001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13140.63315</v>
      </c>
      <c r="L3142" s="459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Linea wspornik drążka</v>
      </c>
      <c r="C3143" s="185">
        <f t="shared" si="99"/>
        <v>5.1901400000000004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580.91206</v>
      </c>
      <c r="L3143" s="459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Linea wspornik półki</v>
      </c>
      <c r="C3144" s="185">
        <f t="shared" si="99"/>
        <v>9.5749200000000005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1071.68281</v>
      </c>
      <c r="L3144" s="459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Linea wspornik półki na buty</v>
      </c>
      <c r="C3145" s="185">
        <f t="shared" si="99"/>
        <v>11.81203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1322.0759599999999</v>
      </c>
      <c r="L3145" s="459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Linea záslepka okrągłego drążka meblowego</v>
      </c>
      <c r="C3146" s="185">
        <f t="shared" si="99"/>
        <v>1.1832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133.26801</v>
      </c>
      <c r="L3146" s="459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Linea Zaślepka do profilu wewnętrznego</v>
      </c>
      <c r="C3147" s="185">
        <f t="shared" si="99"/>
        <v>4.6104000000000003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533.07240000000002</v>
      </c>
      <c r="L3147" s="459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Linea sada 8 szt kątowników mocujących</v>
      </c>
      <c r="C3148" s="185">
        <f t="shared" si="99"/>
        <v>69.261480000000006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7752.1724100000001</v>
      </c>
      <c r="L3148" s="459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tłumienie Top SV60 - 2szt</v>
      </c>
      <c r="C3149" s="185">
        <f t="shared" si="99"/>
        <v>170.82550000000001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20102.976739999998</v>
      </c>
      <c r="L3149" s="459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Porto rączka 2,7m srebrny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szablon reklamowy do wózków do płyty laminowanej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tłumienie Simple/Blue 10/18, 25 - 40kg, L+P</v>
      </c>
      <c r="C3152" s="185">
        <f t="shared" si="99"/>
        <v>109.51739999999999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9728.5697999999993</v>
      </c>
      <c r="L3152" s="459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Fix pozycjoner wózka górnego transparentny</v>
      </c>
      <c r="C3153" s="185">
        <f t="shared" si="99"/>
        <v>3.74519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30.759650000000001</v>
      </c>
      <c r="I3153" s="460">
        <v>1.0929500000000001</v>
      </c>
      <c r="J3153" s="460">
        <v>3.74519</v>
      </c>
      <c r="K3153" s="460">
        <v>481.81545</v>
      </c>
      <c r="L3153" s="459" t="s">
        <v>538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kątownik 18x36mm 3 m srebrny</v>
      </c>
      <c r="C3154" s="185">
        <f t="shared" si="99"/>
        <v>39.565800000000003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4136.4949200000001</v>
      </c>
      <c r="L3154" s="459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04190 Idea tor górny/dolny 2m, srebrny</v>
      </c>
      <c r="C3155" s="185" t="e">
        <f t="shared" si="99"/>
        <v>#N/A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 t="e">
        <v>#N/A</v>
      </c>
      <c r="I3155" s="460" t="e">
        <v>#N/A</v>
      </c>
      <c r="J3155" s="460" t="e">
        <v>#N/A</v>
      </c>
      <c r="K3155" s="460" t="e">
        <v>#N/A</v>
      </c>
      <c r="L3155" s="459" t="e">
        <v>#N/A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04097 Idea tor górny/dolny 3m, srebrny</v>
      </c>
      <c r="C3156" s="185" t="e">
        <f t="shared" si="99"/>
        <v>#N/A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 t="e">
        <v>#N/A</v>
      </c>
      <c r="I3156" s="460" t="e">
        <v>#N/A</v>
      </c>
      <c r="J3156" s="460" t="e">
        <v>#N/A</v>
      </c>
      <c r="K3156" s="460" t="e">
        <v>#N/A</v>
      </c>
      <c r="L3156" s="459" t="e">
        <v>#N/A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04191 Idea tor górny/dolny 6m, srebrny</v>
      </c>
      <c r="C3157" s="185" t="e">
        <f t="shared" si="99"/>
        <v>#N/A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 t="e">
        <v>#N/A</v>
      </c>
      <c r="I3157" s="460" t="e">
        <v>#N/A</v>
      </c>
      <c r="J3157" s="460" t="e">
        <v>#N/A</v>
      </c>
      <c r="K3157" s="460" t="e">
        <v>#N/A</v>
      </c>
      <c r="L3157" s="459" t="e">
        <v>#N/A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Idea zestaw okuć dla 2 drzwi 50kg</v>
      </c>
      <c r="C3158" s="185" t="e">
        <f t="shared" si="99"/>
        <v>#N/A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 t="e">
        <v>#N/A</v>
      </c>
      <c r="I3158" s="460" t="e">
        <v>#N/A</v>
      </c>
      <c r="J3158" s="460" t="e">
        <v>#N/A</v>
      </c>
      <c r="K3158" s="460" t="e">
        <v>#N/A</v>
      </c>
      <c r="L3158" s="459" t="e">
        <v>#N/A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Idea zestaw okuć dla drzwi wewnętrznych 50kg</v>
      </c>
      <c r="C3159" s="185" t="e">
        <f t="shared" si="99"/>
        <v>#N/A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 t="e">
        <v>#N/A</v>
      </c>
      <c r="I3159" s="460" t="e">
        <v>#N/A</v>
      </c>
      <c r="J3159" s="460" t="e">
        <v>#N/A</v>
      </c>
      <c r="K3159" s="460" t="e">
        <v>#N/A</v>
      </c>
      <c r="L3159" s="459" t="e">
        <v>#N/A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pozycjoner Simple Start</v>
      </c>
      <c r="C3160" s="185" t="e">
        <f t="shared" si="99"/>
        <v>#N/A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 t="e">
        <v>#N/A</v>
      </c>
      <c r="I3160" s="460" t="e">
        <v>#N/A</v>
      </c>
      <c r="J3160" s="460" t="e">
        <v>#N/A</v>
      </c>
      <c r="K3160" s="460" t="e">
        <v>#N/A</v>
      </c>
      <c r="L3160" s="459" t="e">
        <v>#N/A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uchwyt Push 90mm nikiel szlifowany</v>
      </c>
      <c r="C3161" s="185" t="e">
        <f t="shared" si="99"/>
        <v>#N/A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 t="e">
        <v>#N/A</v>
      </c>
      <c r="I3161" s="460" t="e">
        <v>#N/A</v>
      </c>
      <c r="J3161" s="460" t="e">
        <v>#N/A</v>
      </c>
      <c r="K3161" s="460" t="e">
        <v>#N/A</v>
      </c>
      <c r="L3161" s="459" t="e">
        <v>#N/A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folia ochronna 300mm/50m przeźroczysta</v>
      </c>
      <c r="C3162" s="185" t="e">
        <f t="shared" si="99"/>
        <v>#N/A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 t="e">
        <v>#N/A</v>
      </c>
      <c r="I3162" s="460" t="e">
        <v>#N/A</v>
      </c>
      <c r="J3162" s="460" t="e">
        <v>#N/A</v>
      </c>
      <c r="K3162" s="460" t="e">
        <v>#N/A</v>
      </c>
      <c r="L3162" s="459" t="e">
        <v>#N/A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folia ochronna 500mm/50m przeźroczysta</v>
      </c>
      <c r="C3163" s="185">
        <f t="shared" si="99"/>
        <v>238.62010000000001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28088.810160000001</v>
      </c>
      <c r="L3163" s="459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szczotka odbojowa bez kleju 4,8x4mm biała</v>
      </c>
      <c r="C3164" s="185">
        <f t="shared" si="99"/>
        <v>0.59363999999999995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61.50817</v>
      </c>
      <c r="L3164" s="459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szczotka przeciw kurzowa bez kleju 4,8x9 mm, szara</v>
      </c>
      <c r="C3165" s="185">
        <f t="shared" si="99"/>
        <v>0.89759999999999995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92.262690000000006</v>
      </c>
      <c r="L3165" s="459" t="s">
        <v>538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tłumienie Top SV80 - 2szt</v>
      </c>
      <c r="C3166" s="185">
        <f t="shared" si="99"/>
        <v>182.6087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21497.166109999998</v>
      </c>
      <c r="L3166" s="459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szczotka odbojowa bez kleju 14x4mm biała</v>
      </c>
      <c r="C3167" s="185">
        <f t="shared" si="99"/>
        <v>1.43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149.05521999999999</v>
      </c>
      <c r="L3167" s="459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Everest tor 3m jasny brąz</v>
      </c>
      <c r="C3168" s="185" t="e">
        <f t="shared" si="99"/>
        <v>#N/A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 t="e">
        <v>#N/A</v>
      </c>
      <c r="I3168" s="460" t="e">
        <v>#N/A</v>
      </c>
      <c r="J3168" s="460" t="e">
        <v>#N/A</v>
      </c>
      <c r="K3168" s="460" t="e">
        <v>#N/A</v>
      </c>
      <c r="L3168" s="459" t="e">
        <v>#N/A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profil "U" do płyty laminowanej 36mm 3m jasny brąz</v>
      </c>
      <c r="C3169" s="185">
        <f t="shared" si="99"/>
        <v>58.075839999999999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6500.2066100000002</v>
      </c>
      <c r="L3169" s="459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profil "U" Mini do płyty laminowanej 18mm 3m jasny brąz</v>
      </c>
      <c r="C3170" s="185">
        <f t="shared" si="99"/>
        <v>16.01784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1792.81519</v>
      </c>
      <c r="L3170" s="459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listwa łącząca H30 3m biały połysk</v>
      </c>
      <c r="C3171" s="185" t="e">
        <f t="shared" si="99"/>
        <v>#N/A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 t="e">
        <v>#N/A</v>
      </c>
      <c r="I3171" s="460" t="e">
        <v>#N/A</v>
      </c>
      <c r="J3171" s="460" t="e">
        <v>#N/A</v>
      </c>
      <c r="K3171" s="460" t="e">
        <v>#N/A</v>
      </c>
      <c r="L3171" s="459" t="e">
        <v>#N/A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kątownik 18x36mm 3m jasny brąz</v>
      </c>
      <c r="C3172" s="185">
        <f t="shared" si="99"/>
        <v>46.174309999999998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5168.1146799999997</v>
      </c>
      <c r="L3172" s="459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kątownik 36x36mm 3m jasny brąz</v>
      </c>
      <c r="C3173" s="185" t="e">
        <f t="shared" si="99"/>
        <v>#N/A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 t="e">
        <v>#N/A</v>
      </c>
      <c r="I3173" s="460" t="e">
        <v>#N/A</v>
      </c>
      <c r="J3173" s="460" t="e">
        <v>#N/A</v>
      </c>
      <c r="K3173" s="460" t="e">
        <v>#N/A</v>
      </c>
      <c r="L3173" s="459" t="e">
        <v>#N/A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kątownik 36x36mm 3 m srebrny</v>
      </c>
      <c r="C3174" s="185">
        <f t="shared" si="99"/>
        <v>52.53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5478.6024299999999</v>
      </c>
      <c r="L3174" s="459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klin do płyty laminowanej grubość 2 mm (100 szt.)</v>
      </c>
      <c r="C3175" s="185">
        <f t="shared" si="99"/>
        <v>30.24597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3385.3154599999998</v>
      </c>
      <c r="L3175" s="459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Porto rączka 2,7m jasny brąz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tłumienie Mini SV-60 (40 - 60kg)</v>
      </c>
      <c r="C3177" s="185">
        <f t="shared" si="99"/>
        <v>38.056199999999997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3772.5116400000002</v>
      </c>
      <c r="L3177" s="459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szczotka przeciwkurzowa z klejem 6,7x13mm szara</v>
      </c>
      <c r="C3178" s="185">
        <f t="shared" si="99"/>
        <v>1.2647999999999999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149.22027</v>
      </c>
      <c r="L3178" s="459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Szpros S18 z klejem 3m srebrny</v>
      </c>
      <c r="C3179" s="185">
        <f t="shared" si="99"/>
        <v>39.552430000000001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4426.9511599999996</v>
      </c>
      <c r="L3179" s="459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zestaw Fold do 2 skrzydeł lewy</v>
      </c>
      <c r="C3180" s="185">
        <f t="shared" si="99"/>
        <v>47.248139999999999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5288.3034799999996</v>
      </c>
      <c r="L3180" s="459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Elegant II tor dolny 6m biały połysk</v>
      </c>
      <c r="C3181" s="185">
        <f t="shared" si="99"/>
        <v>0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0</v>
      </c>
      <c r="K3181" s="460">
        <v>14592.91346</v>
      </c>
      <c r="L3181" s="459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Gemini II tor dolny 1,7m jasny brąz</v>
      </c>
      <c r="C3182" s="185">
        <f t="shared" si="99"/>
        <v>36.778399999999998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4116.4633899999999</v>
      </c>
      <c r="L3182" s="459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Gemini II tor dolny 2,35m jasny brąz</v>
      </c>
      <c r="C3183" s="185">
        <f t="shared" si="99"/>
        <v>50.91704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5698.9484899999998</v>
      </c>
      <c r="L3183" s="459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Gemini II tor dolny 3m jasny brąz</v>
      </c>
      <c r="C3184" s="185">
        <f t="shared" si="99"/>
        <v>64.966210000000004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7271.4172099999996</v>
      </c>
      <c r="L3184" s="459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Gemini II tor dolny 4,05m jasny brąz</v>
      </c>
      <c r="C3185" s="185">
        <f t="shared" si="99"/>
        <v>87.695409999999995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9815.4118799999997</v>
      </c>
      <c r="L3185" s="459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Gemini II tor dolny 6m jasny brąz</v>
      </c>
      <c r="C3186" s="185">
        <f t="shared" si="99"/>
        <v>0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0</v>
      </c>
      <c r="K3186" s="460">
        <v>14542.83482</v>
      </c>
      <c r="L3186" s="459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Hide M tor dolny 1,7m srebrny</v>
      </c>
      <c r="C3187" s="185" t="e">
        <f t="shared" si="99"/>
        <v>#N/A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 t="e">
        <v>#N/A</v>
      </c>
      <c r="I3187" s="460" t="e">
        <v>#N/A</v>
      </c>
      <c r="J3187" s="460" t="e">
        <v>#N/A</v>
      </c>
      <c r="K3187" s="460" t="e">
        <v>#N/A</v>
      </c>
      <c r="L3187" s="459" t="e">
        <v>#N/A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Hide M tor dolny 2,35m srebrny</v>
      </c>
      <c r="C3188" s="185" t="e">
        <f t="shared" si="99"/>
        <v>#N/A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 t="e">
        <v>#N/A</v>
      </c>
      <c r="I3188" s="460" t="e">
        <v>#N/A</v>
      </c>
      <c r="J3188" s="460" t="e">
        <v>#N/A</v>
      </c>
      <c r="K3188" s="460" t="e">
        <v>#N/A</v>
      </c>
      <c r="L3188" s="459" t="e">
        <v>#N/A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Hide M tor dolny 6m srebrny</v>
      </c>
      <c r="C3189" s="185">
        <f t="shared" si="99"/>
        <v>0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0</v>
      </c>
      <c r="K3189" s="460">
        <v>6618.2350800000004</v>
      </c>
      <c r="L3189" s="459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zestaw Fold do 2 skrzydeł lewy</v>
      </c>
      <c r="C3190" s="185" t="e">
        <f t="shared" si="99"/>
        <v>#N/A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 t="e">
        <v>#N/A</v>
      </c>
      <c r="I3190" s="460" t="e">
        <v>#N/A</v>
      </c>
      <c r="J3190" s="460" t="e">
        <v>#N/A</v>
      </c>
      <c r="K3190" s="460" t="e">
        <v>#N/A</v>
      </c>
      <c r="L3190" s="459" t="e">
        <v>#N/A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zestaw Fold do 2 skrzydeł prawy</v>
      </c>
      <c r="C3191" s="185" t="e">
        <f t="shared" si="99"/>
        <v>#N/A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 t="e">
        <v>#N/A</v>
      </c>
      <c r="I3191" s="460" t="e">
        <v>#N/A</v>
      </c>
      <c r="J3191" s="460" t="e">
        <v>#N/A</v>
      </c>
      <c r="K3191" s="460" t="e">
        <v>#N/A</v>
      </c>
      <c r="L3191" s="459" t="e">
        <v>#N/A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maskownica Galaxy 1,5m srebrny</v>
      </c>
      <c r="C3192" s="185" t="e">
        <f t="shared" si="99"/>
        <v>#N/A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 t="e">
        <v>#N/A</v>
      </c>
      <c r="I3192" s="460" t="e">
        <v>#N/A</v>
      </c>
      <c r="J3192" s="460" t="e">
        <v>#N/A</v>
      </c>
      <c r="K3192" s="460" t="e">
        <v>#N/A</v>
      </c>
      <c r="L3192" s="459" t="e">
        <v>#N/A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Fala rączka 10mm 2,5m srebrny</v>
      </c>
      <c r="C3193" s="185" t="e">
        <f t="shared" si="99"/>
        <v>#N/A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 t="e">
        <v>#N/A</v>
      </c>
      <c r="I3193" s="460" t="e">
        <v>#N/A</v>
      </c>
      <c r="J3193" s="460" t="e">
        <v>#N/A</v>
      </c>
      <c r="K3193" s="460" t="e">
        <v>#N/A</v>
      </c>
      <c r="L3193" s="459" t="e">
        <v>#N/A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Polo rączka 10mm 2,5m srebrny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tor górny Galaxy B 50kg do ściany 1,5m</v>
      </c>
      <c r="C3195" s="185">
        <f t="shared" si="99"/>
        <v>33.484079999999999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3701.89113</v>
      </c>
      <c r="L3195" s="459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tor górny Galaxy B 50kg do ściany 2,5m</v>
      </c>
      <c r="C3196" s="185" t="e">
        <f t="shared" si="99"/>
        <v>#N/A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 t="e">
        <v>#N/A</v>
      </c>
      <c r="I3196" s="460" t="e">
        <v>#N/A</v>
      </c>
      <c r="J3196" s="460" t="e">
        <v>#N/A</v>
      </c>
      <c r="K3196" s="460" t="e">
        <v>#N/A</v>
      </c>
      <c r="L3196" s="459" t="e">
        <v>#N/A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tor górny Galaxy B 50kg do ściany 4m</v>
      </c>
      <c r="C3197" s="185">
        <f t="shared" si="99"/>
        <v>89.2346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9868.4363300000005</v>
      </c>
      <c r="L3197" s="459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tor górny Galaxy S 50kg do sufitu 1,5m</v>
      </c>
      <c r="C3198" s="185">
        <f t="shared" si="99"/>
        <v>31.881550000000001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3525.1430799999998</v>
      </c>
      <c r="L3198" s="459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tor górny Galaxy S 50kg do sufitu 2,5m</v>
      </c>
      <c r="C3199" s="185" t="e">
        <f t="shared" si="99"/>
        <v>#N/A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 t="e">
        <v>#N/A</v>
      </c>
      <c r="I3199" s="460" t="e">
        <v>#N/A</v>
      </c>
      <c r="J3199" s="460" t="e">
        <v>#N/A</v>
      </c>
      <c r="K3199" s="460" t="e">
        <v>#N/A</v>
      </c>
      <c r="L3199" s="459" t="e">
        <v>#N/A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tor górny Galaxy S 50kg do sufitu 4m</v>
      </c>
      <c r="C3200" s="185">
        <f t="shared" si="99"/>
        <v>84.933130000000006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9397.1080999999995</v>
      </c>
      <c r="L3200" s="459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Gemini tor górny 6m biały połysk</v>
      </c>
      <c r="C3201" s="185">
        <f t="shared" si="99"/>
        <v>0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0</v>
      </c>
      <c r="K3201" s="460">
        <v>24999.252980000001</v>
      </c>
      <c r="L3201" s="459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>K-SEVROLL komplet wózków do 2 skrzydeł 18mm + szablon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zestaw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Herkules Glass zestaw okuć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mocowanie do sufitu ukośnego</v>
      </c>
      <c r="C3205" s="185" t="e">
        <f t="shared" si="101"/>
        <v>#N/A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 t="e">
        <v>#N/A</v>
      </c>
      <c r="I3205" s="460" t="e">
        <v>#N/A</v>
      </c>
      <c r="J3205" s="460" t="e">
        <v>#N/A</v>
      </c>
      <c r="K3205" s="460" t="e">
        <v>#N/A</v>
      </c>
      <c r="L3205" s="459" t="e">
        <v>#N/A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zaślepka do toru Elegant II 1,7m złoty</v>
      </c>
      <c r="C3206" s="185">
        <f t="shared" si="101"/>
        <v>11.006679999999999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1231.93427</v>
      </c>
      <c r="L3206" s="459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zaślepka do toru Elegant II 2,35m złoty</v>
      </c>
      <c r="C3207" s="185">
        <f t="shared" si="101"/>
        <v>15.21246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1702.6734799999999</v>
      </c>
      <c r="L3207" s="459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maska do toru Elegant II 3m złoty</v>
      </c>
      <c r="C3208" s="185">
        <f t="shared" si="101"/>
        <v>19.507760000000001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2183.4282699999999</v>
      </c>
      <c r="L3208" s="459" t="s">
        <v>539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maska do toru Elegant II 4,05m złoty</v>
      </c>
      <c r="C3209" s="185">
        <f t="shared" si="101"/>
        <v>26.30864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2944.62372</v>
      </c>
      <c r="L3209" s="459" t="s">
        <v>539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zaślepka do toru Elegant II 6m złoty</v>
      </c>
      <c r="C3210" s="185">
        <f t="shared" si="101"/>
        <v>0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0</v>
      </c>
      <c r="K3210" s="460">
        <v>4356.8409799999999</v>
      </c>
      <c r="L3210" s="459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maska do toru Elegant II 1,7m jasny brąz</v>
      </c>
      <c r="C3211" s="185">
        <f t="shared" si="101"/>
        <v>11.006679999999999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1231.93427</v>
      </c>
      <c r="L3211" s="459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maska do toru Elegant II 1,7m biały połysk</v>
      </c>
      <c r="C3212" s="185">
        <f t="shared" si="101"/>
        <v>12.199199999999999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1282.0129099999999</v>
      </c>
      <c r="L3212" s="459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zaślepka do toru Elegant II 1,7m srebrny</v>
      </c>
      <c r="C3213" s="185">
        <f t="shared" si="101"/>
        <v>9.3840000000000003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991.55706999999995</v>
      </c>
      <c r="L3213" s="459" t="s">
        <v>538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maska do toru Elegant II 2,35m jasny brąz</v>
      </c>
      <c r="C3214" s="185">
        <f t="shared" si="101"/>
        <v>15.21246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1702.6734799999999</v>
      </c>
      <c r="L3214" s="459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maska do toru Elegant II 2,35m biały połysk</v>
      </c>
      <c r="C3215" s="185">
        <f t="shared" si="101"/>
        <v>16.870799999999999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1772.7836600000001</v>
      </c>
      <c r="L3215" s="459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zaślepka do toru Elegant II 2,35m srebrny</v>
      </c>
      <c r="C3216" s="185">
        <f t="shared" si="101"/>
        <v>12.9846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1362.1386299999999</v>
      </c>
      <c r="L3216" s="459" t="s">
        <v>538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tłumienie Mini SV25 (14-25kg)</v>
      </c>
      <c r="C3217" s="185">
        <f t="shared" si="101"/>
        <v>96.889799999999994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9041.7265599999992</v>
      </c>
      <c r="L3217" s="459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tłumienie Central 10/18mm obustronne 25kg</v>
      </c>
      <c r="C3218" s="185">
        <f t="shared" si="101"/>
        <v>206.958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19364.876939999998</v>
      </c>
      <c r="L3218" s="459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Elegant II tor dolny 1,7 m, jasny brąz</v>
      </c>
      <c r="C3219" s="185">
        <f t="shared" si="101"/>
        <v>39.086399999999998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4006.2905700000001</v>
      </c>
      <c r="L3219" s="459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/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wózek dolny WD10 V 2 szt. bez pozycjonera</v>
      </c>
      <c r="C3221" s="185">
        <f t="shared" si="101"/>
        <v>26.52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2368.0710600000002</v>
      </c>
      <c r="L3221" s="459" t="s">
        <v>538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wózek dolny V 10mm - 2 szt+ pozycjoner</v>
      </c>
      <c r="C3222" s="185" t="e">
        <f t="shared" si="101"/>
        <v>#N/A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 t="e">
        <v>#N/A</v>
      </c>
      <c r="I3222" s="460" t="e">
        <v>#N/A</v>
      </c>
      <c r="J3222" s="460" t="e">
        <v>#N/A</v>
      </c>
      <c r="K3222" s="460" t="e">
        <v>#N/A</v>
      </c>
      <c r="L3222" s="459" t="e">
        <v>#N/A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element montażowy do płyty laminowanej 10mm mały (promocja)</v>
      </c>
      <c r="C3223" s="185" t="e">
        <f t="shared" si="101"/>
        <v>#N/A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 t="e">
        <v>#N/A</v>
      </c>
      <c r="I3223" s="460" t="e">
        <v>#N/A</v>
      </c>
      <c r="J3223" s="460" t="e">
        <v>#N/A</v>
      </c>
      <c r="K3223" s="460" t="e">
        <v>#N/A</v>
      </c>
      <c r="L3223" s="459" t="e">
        <v>#N/A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listwa łącząca Simple/Blue H28 3m (do płyty laminowanej 18mm) srebrny</v>
      </c>
      <c r="C3224" s="185">
        <f t="shared" si="101"/>
        <v>70.338160000000002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7751.701</v>
      </c>
      <c r="L3224" s="459" t="s">
        <v>538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Elegant II tor dolny 6m złoty</v>
      </c>
      <c r="C3225" s="185">
        <f t="shared" si="101"/>
        <v>0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0</v>
      </c>
      <c r="K3225" s="460">
        <v>14122.17425</v>
      </c>
      <c r="L3225" s="459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wózek dolny V 10mm + pomoc montażowa gratis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wózek dolny V 10mm + Fix + wiertło gratis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Pax XL rączka 2,7m srebrny</v>
      </c>
      <c r="C3228" s="185">
        <f t="shared" si="101"/>
        <v>89.892600000000002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9024.1693500000001</v>
      </c>
      <c r="L3228" s="459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Pax XL tor dolny 3m srebrny</v>
      </c>
      <c r="C3229" s="185" t="e">
        <f t="shared" si="101"/>
        <v>#N/A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 t="e">
        <v>#N/A</v>
      </c>
      <c r="I3229" s="460" t="e">
        <v>#N/A</v>
      </c>
      <c r="J3229" s="460" t="e">
        <v>#N/A</v>
      </c>
      <c r="K3229" s="460" t="e">
        <v>#N/A</v>
      </c>
      <c r="L3229" s="459" t="e">
        <v>#N/A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Pax XL maskownica dolna 3m 4mm srebrny</v>
      </c>
      <c r="C3230" s="185">
        <f t="shared" si="101"/>
        <v>111.6186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11197.582060000001</v>
      </c>
      <c r="L3230" s="459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uszczelka do profilu Pax XL</v>
      </c>
      <c r="C3231" s="185">
        <f t="shared" si="101"/>
        <v>2.1318000000000001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235.78189</v>
      </c>
      <c r="L3231" s="459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listwa łącząca Simple/Blue H21 3m (do płyty laminowanej 18mm) srebrny</v>
      </c>
      <c r="C3232" s="185">
        <f t="shared" si="101"/>
        <v>46.268070000000002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4465.8751000000002</v>
      </c>
      <c r="L3232" s="459" t="s">
        <v>538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Wzornik rączek 2017 zeszyt SPRZEDAŻ</v>
      </c>
      <c r="C3233" s="185" t="e">
        <f t="shared" si="101"/>
        <v>#N/A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 t="e">
        <v>#N/A</v>
      </c>
      <c r="I3233" s="460" t="e">
        <v>#N/A</v>
      </c>
      <c r="J3233" s="460" t="e">
        <v>#N/A</v>
      </c>
      <c r="K3233" s="460" t="e">
        <v>#N/A</v>
      </c>
      <c r="L3233" s="459" t="e">
        <v>#N/A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Rekord rączka 18 mm 2,70 m, srebrna</v>
      </c>
      <c r="C3234" s="185">
        <f t="shared" si="101"/>
        <v>51.239409999999999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4872.7885500000002</v>
      </c>
      <c r="L3234" s="459" t="s">
        <v>538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Rekord rączka 18mm 2,70m jasny brąz</v>
      </c>
      <c r="C3235" s="185">
        <f t="shared" si="101"/>
        <v>58.838009999999997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6093.5288499999997</v>
      </c>
      <c r="L3235" s="459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Micra stoper (2szt w opakowaniu)</v>
      </c>
      <c r="C3236" s="185">
        <f t="shared" si="101"/>
        <v>2.1215999999999999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230.36161999999999</v>
      </c>
      <c r="L3236" s="459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komplet okuć do tłumienia Mini</v>
      </c>
      <c r="C3237" s="185">
        <f t="shared" si="101"/>
        <v>6.9930000000000003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820.11125000000004</v>
      </c>
      <c r="L3237" s="459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/>
      </c>
      <c r="C3238" s="185" t="e">
        <f t="shared" si="101"/>
        <v>#N/A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 t="e">
        <v>#N/A</v>
      </c>
      <c r="I3238" s="460" t="e">
        <v>#N/A</v>
      </c>
      <c r="J3238" s="460" t="e">
        <v>#N/A</v>
      </c>
      <c r="K3238" s="460" t="e">
        <v>#N/A</v>
      </c>
      <c r="L3238" s="459" t="e">
        <v>#N/A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Eden zestaw okuć dla 2 drzwi</v>
      </c>
      <c r="C3239" s="185">
        <f t="shared" si="101"/>
        <v>161.16269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18038.323110000001</v>
      </c>
      <c r="L3239" s="459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Eden zestaw okuć do drzwi wewnętrznych</v>
      </c>
      <c r="C3240" s="185">
        <f t="shared" si="101"/>
        <v>79.641750000000002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8913.9965200000006</v>
      </c>
      <c r="L3240" s="459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Eden tor górny 1,7m srebrny</v>
      </c>
      <c r="C3241" s="185">
        <f t="shared" si="101"/>
        <v>28.008849999999999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3134.92229</v>
      </c>
      <c r="L3241" s="459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Eden tor górny 1,7m biały połysk</v>
      </c>
      <c r="C3242" s="185" t="e">
        <f t="shared" si="101"/>
        <v>#N/A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 t="e">
        <v>#N/A</v>
      </c>
      <c r="I3242" s="460" t="e">
        <v>#N/A</v>
      </c>
      <c r="J3242" s="460" t="e">
        <v>#N/A</v>
      </c>
      <c r="K3242" s="460" t="e">
        <v>#N/A</v>
      </c>
      <c r="L3242" s="459" t="e">
        <v>#N/A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Eden tor górny 2,35m srebrny</v>
      </c>
      <c r="C3243" s="185">
        <f t="shared" si="101"/>
        <v>38.65757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4326.7938999999997</v>
      </c>
      <c r="L3243" s="459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Eden tor górny 2,35m biały połysk</v>
      </c>
      <c r="C3244" s="185" t="e">
        <f t="shared" si="101"/>
        <v>#N/A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 t="e">
        <v>#N/A</v>
      </c>
      <c r="I3244" s="460" t="e">
        <v>#N/A</v>
      </c>
      <c r="J3244" s="460" t="e">
        <v>#N/A</v>
      </c>
      <c r="K3244" s="460" t="e">
        <v>#N/A</v>
      </c>
      <c r="L3244" s="459" t="e">
        <v>#N/A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Eden tor górny 3m srebrny</v>
      </c>
      <c r="C3245" s="185">
        <f t="shared" si="101"/>
        <v>49.395780000000002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5528.6810599999999</v>
      </c>
      <c r="L3245" s="459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Eden tor górny 3m biały połysk</v>
      </c>
      <c r="C3246" s="185">
        <f t="shared" si="101"/>
        <v>64.250320000000002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7191.2914899999996</v>
      </c>
      <c r="L3246" s="459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Eden tor górny 6m srebrny</v>
      </c>
      <c r="C3247" s="185">
        <f t="shared" si="101"/>
        <v>0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0</v>
      </c>
      <c r="K3247" s="460">
        <v>11057.36212</v>
      </c>
      <c r="L3247" s="459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Eden tor górny 6m biały połysk</v>
      </c>
      <c r="C3248" s="185">
        <f t="shared" si="101"/>
        <v>0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0</v>
      </c>
      <c r="K3248" s="460">
        <v>14372.5674</v>
      </c>
      <c r="L3248" s="459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Eden listwa pozioma 1,7m srebrny</v>
      </c>
      <c r="C3249" s="185" t="e">
        <f t="shared" si="101"/>
        <v>#N/A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 t="e">
        <v>#N/A</v>
      </c>
      <c r="I3249" s="460" t="e">
        <v>#N/A</v>
      </c>
      <c r="J3249" s="460" t="e">
        <v>#N/A</v>
      </c>
      <c r="K3249" s="460" t="e">
        <v>#N/A</v>
      </c>
      <c r="L3249" s="459" t="e">
        <v>#N/A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Eden XL listwa pozioma 1,7m srebrny</v>
      </c>
      <c r="C3250" s="185">
        <f t="shared" si="101"/>
        <v>84.294979999999995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9434.8143600000003</v>
      </c>
      <c r="L3250" s="459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Eden XL listwa pozioma 1,7m biały połysk</v>
      </c>
      <c r="C3251" s="185" t="e">
        <f t="shared" si="101"/>
        <v>#N/A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 t="e">
        <v>#N/A</v>
      </c>
      <c r="I3251" s="460" t="e">
        <v>#N/A</v>
      </c>
      <c r="J3251" s="460" t="e">
        <v>#N/A</v>
      </c>
      <c r="K3251" s="460" t="e">
        <v>#N/A</v>
      </c>
      <c r="L3251" s="459" t="e">
        <v>#N/A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Eden listwa pozioma 1,7m biały połysk</v>
      </c>
      <c r="C3252" s="185" t="e">
        <f t="shared" si="101"/>
        <v>#N/A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 t="e">
        <v>#N/A</v>
      </c>
      <c r="I3252" s="460" t="e">
        <v>#N/A</v>
      </c>
      <c r="J3252" s="460" t="e">
        <v>#N/A</v>
      </c>
      <c r="K3252" s="460" t="e">
        <v>#N/A</v>
      </c>
      <c r="L3252" s="459" t="e">
        <v>#N/A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Eden listwa pozioma 2,35m biały połysk</v>
      </c>
      <c r="C3253" s="185">
        <f t="shared" si="101"/>
        <v>136.01739000000001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15223.90415</v>
      </c>
      <c r="L3253" s="459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Eden XL listwa pozioma 2,35m biały połysk</v>
      </c>
      <c r="C3254" s="185" t="e">
        <f t="shared" si="101"/>
        <v>#N/A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 t="e">
        <v>#N/A</v>
      </c>
      <c r="I3254" s="460" t="e">
        <v>#N/A</v>
      </c>
      <c r="J3254" s="460" t="e">
        <v>#N/A</v>
      </c>
      <c r="K3254" s="460" t="e">
        <v>#N/A</v>
      </c>
      <c r="L3254" s="459" t="e">
        <v>#N/A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Eden XL listwa pozioma 2,35m srebrny</v>
      </c>
      <c r="C3255" s="185" t="e">
        <f t="shared" si="101"/>
        <v>#N/A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 t="e">
        <v>#N/A</v>
      </c>
      <c r="I3255" s="460" t="e">
        <v>#N/A</v>
      </c>
      <c r="J3255" s="460" t="e">
        <v>#N/A</v>
      </c>
      <c r="K3255" s="460" t="e">
        <v>#N/A</v>
      </c>
      <c r="L3255" s="459" t="e">
        <v>#N/A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Eden listwa pozioma 2,35m srebrny</v>
      </c>
      <c r="C3256" s="185" t="e">
        <f t="shared" si="101"/>
        <v>#N/A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 t="e">
        <v>#N/A</v>
      </c>
      <c r="I3256" s="460" t="e">
        <v>#N/A</v>
      </c>
      <c r="J3256" s="460" t="e">
        <v>#N/A</v>
      </c>
      <c r="K3256" s="460" t="e">
        <v>#N/A</v>
      </c>
      <c r="L3256" s="459" t="e">
        <v>#N/A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Eden listwa pozioma 3m srebrny</v>
      </c>
      <c r="C3257" s="185">
        <f t="shared" si="101"/>
        <v>133.51179999999999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 t="e">
        <v>#N/A</v>
      </c>
      <c r="L3257" s="459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Eden XL listwa pozioma 3m srebrny</v>
      </c>
      <c r="C3258" s="185" t="e">
        <f t="shared" si="101"/>
        <v>#N/A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 t="e">
        <v>#N/A</v>
      </c>
      <c r="I3258" s="460" t="e">
        <v>#N/A</v>
      </c>
      <c r="J3258" s="460" t="e">
        <v>#N/A</v>
      </c>
      <c r="K3258" s="460" t="e">
        <v>#N/A</v>
      </c>
      <c r="L3258" s="459" t="e">
        <v>#N/A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Eden XL listwa pozioma 3m biały połysk</v>
      </c>
      <c r="C3259" s="185" t="e">
        <f t="shared" si="101"/>
        <v>#N/A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 t="e">
        <v>#N/A</v>
      </c>
      <c r="I3259" s="460" t="e">
        <v>#N/A</v>
      </c>
      <c r="J3259" s="460" t="e">
        <v>#N/A</v>
      </c>
      <c r="K3259" s="460" t="e">
        <v>#N/A</v>
      </c>
      <c r="L3259" s="459" t="e">
        <v>#N/A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Eden listwa pozioma 3m biały połysk</v>
      </c>
      <c r="C3260" s="185">
        <f t="shared" si="101"/>
        <v>173.60113999999999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19430.509249999999</v>
      </c>
      <c r="L3260" s="459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Eden górna maskownica 1,1 m srebrna</v>
      </c>
      <c r="C3261" s="185">
        <f t="shared" si="101"/>
        <v>12.885859999999999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1442.26478</v>
      </c>
      <c r="L3261" s="459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element montażowy do Eden/Pax</v>
      </c>
      <c r="C3262" s="185" t="e">
        <f t="shared" si="101"/>
        <v>#N/A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 t="e">
        <v>#N/A</v>
      </c>
      <c r="I3262" s="460" t="e">
        <v>#N/A</v>
      </c>
      <c r="J3262" s="460" t="e">
        <v>#N/A</v>
      </c>
      <c r="K3262" s="460" t="e">
        <v>#N/A</v>
      </c>
      <c r="L3262" s="459" t="e">
        <v>#N/A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/>
      </c>
      <c r="C3263" s="185">
        <f t="shared" si="101"/>
        <v>12.5154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1382.1701800000001</v>
      </c>
      <c r="L3263" s="459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/>
      </c>
      <c r="C3264" s="185">
        <f t="shared" si="101"/>
        <v>16.289400000000001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1792.81519</v>
      </c>
      <c r="L3264" s="459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maska do toru Elegant II 1,7m jasny brąz szczotkowany</v>
      </c>
      <c r="C3265" s="185">
        <f t="shared" si="101"/>
        <v>16.01784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1792.81519</v>
      </c>
      <c r="L3265" s="459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zaślepka do toru Elegant II 1,7m koniak szczotkowany</v>
      </c>
      <c r="C3266" s="185">
        <f t="shared" si="101"/>
        <v>16.01784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1792.81519</v>
      </c>
      <c r="L3266" s="459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maska do toru Elegant II 1,7 m czarny szczotkowany</v>
      </c>
      <c r="C3267" s="185">
        <f t="shared" si="101"/>
        <v>16.01784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1792.81519</v>
      </c>
      <c r="L3267" s="459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maska do toru Elegant II 2,35 m jasny brąz szczotkowany</v>
      </c>
      <c r="C3268" s="185">
        <f t="shared" ref="C3268:C3331" si="103">IF($A$2=1,H3268,IF($A$2=2,I3268,IF($A$2=3,J3268,IF($A$2=4,K3268,IF($A$2&gt;4,O3268,"zadat jazyk")))))</f>
        <v>22.013339999999999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2463.8685500000001</v>
      </c>
      <c r="L3268" s="459" t="s">
        <v>539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zaślepka do toru Elegant II 2,35m koniak szczotkowany</v>
      </c>
      <c r="C3269" s="185">
        <f t="shared" si="103"/>
        <v>22.013339999999999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2463.8685500000001</v>
      </c>
      <c r="L3269" s="459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zaślepka do toru Elegant II 2,35 m czarny szczotkowany</v>
      </c>
      <c r="C3270" s="185">
        <f t="shared" si="103"/>
        <v>22.013339999999999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2463.8685500000001</v>
      </c>
      <c r="L3270" s="459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zaślepka do toru Elegant II 3m srebrny</v>
      </c>
      <c r="C3271" s="185">
        <f t="shared" si="103"/>
        <v>16.564800000000002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1742.7365600000001</v>
      </c>
      <c r="L3271" s="459" t="s">
        <v>538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maska do toru Elegant II 3 m jasny brąz</v>
      </c>
      <c r="C3272" s="185">
        <f t="shared" si="103"/>
        <v>19.507760000000001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2183.4282699999999</v>
      </c>
      <c r="L3272" s="459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maska do toru Elegant II 3 m jasny brąz szczotkowany</v>
      </c>
      <c r="C3273" s="185">
        <f t="shared" si="103"/>
        <v>28.098320000000001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3144.9382599999999</v>
      </c>
      <c r="L3273" s="459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zaślepka do toru Elegant II 3m koniak szczotkowany</v>
      </c>
      <c r="C3274" s="185">
        <f t="shared" si="103"/>
        <v>28.098320000000001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3144.9382599999999</v>
      </c>
      <c r="L3274" s="459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maska do toru Elegant II 3 m czarny szczotkowany</v>
      </c>
      <c r="C3275" s="185">
        <f t="shared" si="103"/>
        <v>28.098320000000001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3144.9382599999999</v>
      </c>
      <c r="L3275" s="459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maska do toru Elegant II 3 m biały połysk</v>
      </c>
      <c r="C3276" s="185">
        <f t="shared" si="103"/>
        <v>21.542400000000001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2263.5540099999998</v>
      </c>
      <c r="L3276" s="459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zaślepka do toru Elegant II 4,05m srebrny</v>
      </c>
      <c r="C3277" s="185">
        <f t="shared" si="103"/>
        <v>22.368600000000001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2353.6957200000002</v>
      </c>
      <c r="L3277" s="459" t="s">
        <v>538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maska do toru Elegant II 4,05 m jasny brąz</v>
      </c>
      <c r="C3278" s="185">
        <f t="shared" si="103"/>
        <v>26.30864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2944.62372</v>
      </c>
      <c r="L3278" s="459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maska do toru Elegant II 4,05 m jasny brąz szczotkowany</v>
      </c>
      <c r="C3279" s="185">
        <f t="shared" si="103"/>
        <v>37.941690000000001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4246.6681500000004</v>
      </c>
      <c r="L3279" s="459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zaślepka do toru Elegant II 4,05m koniak szczotkowany</v>
      </c>
      <c r="C3280" s="185">
        <f t="shared" si="103"/>
        <v>37.941690000000001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4246.6681500000004</v>
      </c>
      <c r="L3280" s="459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maska do toru Elegant II 4,05 m czarny szczotkowany</v>
      </c>
      <c r="C3281" s="185">
        <f t="shared" si="103"/>
        <v>37.941690000000001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4246.6681500000004</v>
      </c>
      <c r="L3281" s="459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maska do toru Elegant II 4,05 m biały połysk</v>
      </c>
      <c r="C3282" s="185">
        <f t="shared" si="103"/>
        <v>29.07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3054.79655</v>
      </c>
      <c r="L3282" s="459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maska do toru Elegant II 6 m srebrny</v>
      </c>
      <c r="C3283" s="185">
        <f t="shared" si="103"/>
        <v>0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0</v>
      </c>
      <c r="K3283" s="460">
        <v>3485.4726999999998</v>
      </c>
      <c r="L3283" s="459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maska do toru Elegant II 6 m jasny brąz</v>
      </c>
      <c r="C3284" s="185">
        <f t="shared" si="103"/>
        <v>0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0</v>
      </c>
      <c r="K3284" s="460">
        <v>4356.8409799999999</v>
      </c>
      <c r="L3284" s="459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zaślepka do toru Elegant II 6m jasny brąz szczotkowany</v>
      </c>
      <c r="C3285" s="185">
        <f t="shared" si="103"/>
        <v>0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0</v>
      </c>
      <c r="K3285" s="460">
        <v>6289.8761000000004</v>
      </c>
      <c r="L3285" s="459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zaślepka do toru Elegant II 6m koniak szczotkowany</v>
      </c>
      <c r="C3286" s="185" t="e">
        <f t="shared" si="103"/>
        <v>#N/A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 t="e">
        <v>#N/A</v>
      </c>
      <c r="I3286" s="460" t="e">
        <v>#N/A</v>
      </c>
      <c r="J3286" s="460" t="e">
        <v>#N/A</v>
      </c>
      <c r="K3286" s="460" t="e">
        <v>#N/A</v>
      </c>
      <c r="L3286" s="459" t="e">
        <v>#N/A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zaślepka do toru Elegant II 6m czarny szczotkowany</v>
      </c>
      <c r="C3287" s="185">
        <f t="shared" si="103"/>
        <v>0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0</v>
      </c>
      <c r="K3287" s="460">
        <v>6289.8761000000004</v>
      </c>
      <c r="L3287" s="459" t="s">
        <v>539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zaślepka do toru Elegant II 6m biały połysk</v>
      </c>
      <c r="C3288" s="185">
        <f t="shared" si="103"/>
        <v>0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0</v>
      </c>
      <c r="K3288" s="460">
        <v>4527.1084300000002</v>
      </c>
      <c r="L3288" s="459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Herkules plus tor górny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Herkules plus tor górny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blachowkręt Blue 6,3x45</v>
      </c>
      <c r="C3291" s="185">
        <f t="shared" si="103"/>
        <v>0.52376999999999996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61.50817</v>
      </c>
      <c r="L3291" s="459" t="s">
        <v>538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Era rączka 18 mm 2,70 m, srebrna</v>
      </c>
      <c r="C3292" s="185">
        <f t="shared" si="103"/>
        <v>42.932870000000001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4679.5044900000003</v>
      </c>
      <c r="L3292" s="459" t="s">
        <v>538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Blue tor górny 2m srebrny</v>
      </c>
      <c r="C3293" s="185">
        <f t="shared" si="103"/>
        <v>53.662149999999997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5900.2447899999997</v>
      </c>
      <c r="L3293" s="459" t="s">
        <v>538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Blue-V tor dolny 2m srebrny</v>
      </c>
      <c r="C3294" s="185">
        <f t="shared" si="103"/>
        <v>33.713859999999997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3153.5790999999999</v>
      </c>
      <c r="L3294" s="459" t="s">
        <v>538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Blue-C tor dolny 2m, srebrny</v>
      </c>
      <c r="C3295" s="185">
        <f t="shared" si="103"/>
        <v>28.207630000000002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2716.14725</v>
      </c>
      <c r="L3295" s="459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wózek górny Blue (do płyty laminowanej 18mm) ramowy L+P</v>
      </c>
      <c r="C3296" s="185">
        <f t="shared" si="103"/>
        <v>15.244389999999999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1435.1946800000001</v>
      </c>
      <c r="L3296" s="459" t="s">
        <v>538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wózek dolny Blue C system ramowy - 2 szt.</v>
      </c>
      <c r="C3297" s="185">
        <f t="shared" si="103"/>
        <v>15.66916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1158.40705</v>
      </c>
      <c r="L3297" s="459" t="s">
        <v>540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wózek górny Blue (do płyty laminowanej 18mm) bezramowy L+P</v>
      </c>
      <c r="C3298" s="185">
        <f t="shared" si="103"/>
        <v>12.22138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1435.1946800000001</v>
      </c>
      <c r="L3298" s="459" t="s">
        <v>538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wózek dolny Blue V system bezramowy do 18mm - 2szt</v>
      </c>
      <c r="C3299" s="185">
        <f t="shared" si="103"/>
        <v>17.35249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1896.5072500000001</v>
      </c>
      <c r="L3299" s="459" t="s">
        <v>538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wózek dolny Blue C bezramowy do 18mm - 2 szt.</v>
      </c>
      <c r="C3300" s="185">
        <f t="shared" si="103"/>
        <v>16.911989999999999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1896.5072500000001</v>
      </c>
      <c r="L3300" s="459" t="s">
        <v>540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Era rączka 18mm 2,70m, jasny brąz</v>
      </c>
      <c r="C3301" s="185">
        <f t="shared" si="103"/>
        <v>50.194949999999999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5849.3806000000004</v>
      </c>
      <c r="L3301" s="459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Blue tor górny 1,5m srebrny</v>
      </c>
      <c r="C3302" s="185">
        <f t="shared" si="103"/>
        <v>40.289879999999997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4425.1835799999999</v>
      </c>
      <c r="L3302" s="459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Blue tor górny 1,5m jasny brąz</v>
      </c>
      <c r="C3303" s="185">
        <f t="shared" si="103"/>
        <v>47.466999999999999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5534.0228800000004</v>
      </c>
      <c r="L3303" s="459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Blue tor górny 2 m, jasny brąz</v>
      </c>
      <c r="C3304" s="185">
        <f t="shared" si="103"/>
        <v>63.289290000000001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7375.3059899999998</v>
      </c>
      <c r="L3304" s="459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Blue tor górny 2,5m srebrny</v>
      </c>
      <c r="C3305" s="185">
        <f t="shared" si="103"/>
        <v>67.065889999999996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7375.3059899999998</v>
      </c>
      <c r="L3305" s="459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Blue tor górny 2,5m jasny brąz</v>
      </c>
      <c r="C3306" s="185">
        <f t="shared" si="103"/>
        <v>79.111639999999994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9216.5891300000003</v>
      </c>
      <c r="L3306" s="459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Blue tor górny 3 m, jasny brąz</v>
      </c>
      <c r="C3307" s="185">
        <f t="shared" si="103"/>
        <v>94.933920000000001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11068.045319999999</v>
      </c>
      <c r="L3307" s="459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Blue tor górny 3 m, srebrny</v>
      </c>
      <c r="C3308" s="185">
        <f t="shared" si="103"/>
        <v>80.48536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8850.3671900000008</v>
      </c>
      <c r="L3308" s="459" t="s">
        <v>538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Blue tor górny 4m srebrny</v>
      </c>
      <c r="C3309" s="185">
        <f t="shared" si="103"/>
        <v>107.34003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11800.489600000001</v>
      </c>
      <c r="L3309" s="459" t="s">
        <v>538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Blue tor górny 4 m, jasny brąz</v>
      </c>
      <c r="C3310" s="185">
        <f t="shared" si="103"/>
        <v>126.57856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14750.61198</v>
      </c>
      <c r="L3310" s="459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Blue tor górny 6 m, jasny brąz</v>
      </c>
      <c r="C3311" s="185">
        <f t="shared" si="103"/>
        <v>0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0</v>
      </c>
      <c r="K3311" s="460">
        <v>22125.917969999999</v>
      </c>
      <c r="L3311" s="459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Blue tor górny 6 m, srebrny</v>
      </c>
      <c r="C3312" s="185" t="e">
        <f t="shared" si="103"/>
        <v>#N/A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 t="e">
        <v>#N/A</v>
      </c>
      <c r="I3312" s="460" t="e">
        <v>#N/A</v>
      </c>
      <c r="J3312" s="460" t="e">
        <v>#N/A</v>
      </c>
      <c r="K3312" s="460" t="e">
        <v>#N/A</v>
      </c>
      <c r="L3312" s="459" t="e">
        <v>#N/A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Blue-V tor dolny 2 m, jasny brąz</v>
      </c>
      <c r="C3313" s="185">
        <f t="shared" si="103"/>
        <v>37.583959999999998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3947.06023</v>
      </c>
      <c r="L3313" s="459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Blue-V tor dolny 1,5m srebrny</v>
      </c>
      <c r="C3314" s="185">
        <f t="shared" si="103"/>
        <v>25.674769999999999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2370.2706699999999</v>
      </c>
      <c r="L3314" s="459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Blue-V tor dolny 2,5m jasny brąz</v>
      </c>
      <c r="C3315" s="185">
        <f t="shared" si="103"/>
        <v>46.504049999999999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4923.6526999999996</v>
      </c>
      <c r="L3315" s="459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Blue-V tor dolny 1,5m jasny brąz</v>
      </c>
      <c r="C3316" s="185">
        <f t="shared" si="103"/>
        <v>28.695329999999998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2960.2950700000001</v>
      </c>
      <c r="L3316" s="459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Blue-V tor dolny 2,5m srebrny</v>
      </c>
      <c r="C3317" s="185">
        <f t="shared" si="103"/>
        <v>41.627099999999999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3947.06023</v>
      </c>
      <c r="L3317" s="459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Blue-V tor dolny 3m srebrny</v>
      </c>
      <c r="C3318" s="185">
        <f t="shared" si="103"/>
        <v>49.288629999999998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4730.3686699999998</v>
      </c>
      <c r="L3318" s="459" t="s">
        <v>538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Blue-V tor dolny 3 m, jasny brąz</v>
      </c>
      <c r="C3319" s="185">
        <f t="shared" si="103"/>
        <v>55.219630000000002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5910.4174800000001</v>
      </c>
      <c r="L3319" s="459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Blue-V tor dolny 4m jasny brąz</v>
      </c>
      <c r="C3320" s="185">
        <f t="shared" si="103"/>
        <v>73.594700000000003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7883.9477800000004</v>
      </c>
      <c r="L3320" s="459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Blue-V tor dolny 6m jasny brąz</v>
      </c>
      <c r="C3321" s="185">
        <f t="shared" si="103"/>
        <v>0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0</v>
      </c>
      <c r="K3321" s="460">
        <v>11831.00801</v>
      </c>
      <c r="L3321" s="459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Blue-V tor dolny 6m srebrny</v>
      </c>
      <c r="C3322" s="185">
        <f t="shared" si="103"/>
        <v>0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0</v>
      </c>
      <c r="K3322" s="460">
        <v>9460.7373399999997</v>
      </c>
      <c r="L3322" s="459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Blue-V tor dolny 4m srebrny</v>
      </c>
      <c r="C3323" s="185">
        <f t="shared" si="103"/>
        <v>65.728660000000005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6307.1582399999998</v>
      </c>
      <c r="L3323" s="459" t="s">
        <v>538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klin mocujący Blue 40szt(szkło 4mm)</v>
      </c>
      <c r="C3324" s="185">
        <f t="shared" si="103"/>
        <v>42.618220000000001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4838.6564200000003</v>
      </c>
      <c r="L3324" s="459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Blue-C tor dolny 1,5m srebrny</v>
      </c>
      <c r="C3325" s="185" t="e">
        <f t="shared" si="103"/>
        <v>#N/A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 t="e">
        <v>#N/A</v>
      </c>
      <c r="I3325" s="460" t="e">
        <v>#N/A</v>
      </c>
      <c r="J3325" s="460" t="e">
        <v>#N/A</v>
      </c>
      <c r="K3325" s="460" t="e">
        <v>#N/A</v>
      </c>
      <c r="L3325" s="459" t="e">
        <v>#N/A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Blue-C tor dolny 1,5m jasny brąz</v>
      </c>
      <c r="C3326" s="185" t="e">
        <f t="shared" si="103"/>
        <v>#N/A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 t="e">
        <v>#N/A</v>
      </c>
      <c r="I3326" s="460" t="e">
        <v>#N/A</v>
      </c>
      <c r="J3326" s="460" t="e">
        <v>#N/A</v>
      </c>
      <c r="K3326" s="460" t="e">
        <v>#N/A</v>
      </c>
      <c r="L3326" s="459" t="e">
        <v>#N/A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Blue-C tor dolny 2m jasny brąz</v>
      </c>
      <c r="C3327" s="185" t="e">
        <f t="shared" si="103"/>
        <v>#N/A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 t="e">
        <v>#N/A</v>
      </c>
      <c r="I3327" s="460" t="e">
        <v>#N/A</v>
      </c>
      <c r="J3327" s="460" t="e">
        <v>#N/A</v>
      </c>
      <c r="K3327" s="460" t="e">
        <v>#N/A</v>
      </c>
      <c r="L3327" s="459" t="e">
        <v>#N/A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Blue-C tor dolny 2,5m srebrny</v>
      </c>
      <c r="C3328" s="185" t="e">
        <f t="shared" si="103"/>
        <v>#N/A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 t="e">
        <v>#N/A</v>
      </c>
      <c r="I3328" s="460" t="e">
        <v>#N/A</v>
      </c>
      <c r="J3328" s="460" t="e">
        <v>#N/A</v>
      </c>
      <c r="K3328" s="460" t="e">
        <v>#N/A</v>
      </c>
      <c r="L3328" s="459" t="e">
        <v>#N/A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Blue-C tor dolny 2,5m jasny brąz</v>
      </c>
      <c r="C3329" s="185" t="e">
        <f t="shared" si="103"/>
        <v>#N/A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 t="e">
        <v>#N/A</v>
      </c>
      <c r="I3329" s="460" t="e">
        <v>#N/A</v>
      </c>
      <c r="J3329" s="460" t="e">
        <v>#N/A</v>
      </c>
      <c r="K3329" s="460" t="e">
        <v>#N/A</v>
      </c>
      <c r="L3329" s="459" t="e">
        <v>#N/A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Blue-C tor dolny 3m srebrny</v>
      </c>
      <c r="C3330" s="185">
        <f t="shared" si="103"/>
        <v>40.997819999999997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3926.7144899999998</v>
      </c>
      <c r="L3330" s="459" t="s">
        <v>540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Blue-C tor dolny 3m jasny brąz</v>
      </c>
      <c r="C3331" s="185" t="e">
        <f t="shared" si="103"/>
        <v>#N/A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 t="e">
        <v>#N/A</v>
      </c>
      <c r="I3331" s="460" t="e">
        <v>#N/A</v>
      </c>
      <c r="J3331" s="460" t="e">
        <v>#N/A</v>
      </c>
      <c r="K3331" s="460" t="e">
        <v>#N/A</v>
      </c>
      <c r="L3331" s="459" t="e">
        <v>#N/A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Blue-C tor dolny 4m srebrny</v>
      </c>
      <c r="C3332" s="185">
        <f t="shared" ref="C3332:C3395" si="105">IF($A$2=1,H3332,IF($A$2=2,I3332,IF($A$2=3,J3332,IF($A$2=4,K3332,IF($A$2&gt;4,O3332,"zadat jazyk")))))</f>
        <v>54.590339999999998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5259.3562300000003</v>
      </c>
      <c r="L3332" s="459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Blue-C tor dolny 4m jasny brąz</v>
      </c>
      <c r="C3333" s="185" t="e">
        <f t="shared" si="105"/>
        <v>#N/A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 t="e">
        <v>#N/A</v>
      </c>
      <c r="I3333" s="460" t="e">
        <v>#N/A</v>
      </c>
      <c r="J3333" s="460" t="e">
        <v>#N/A</v>
      </c>
      <c r="K3333" s="460" t="e">
        <v>#N/A</v>
      </c>
      <c r="L3333" s="459" t="e">
        <v>#N/A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Blue-C tor dolny 6m srebrny</v>
      </c>
      <c r="C3334" s="185" t="e">
        <f t="shared" si="105"/>
        <v>#N/A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 t="e">
        <v>#N/A</v>
      </c>
      <c r="I3334" s="460" t="e">
        <v>#N/A</v>
      </c>
      <c r="J3334" s="460" t="e">
        <v>#N/A</v>
      </c>
      <c r="K3334" s="460" t="e">
        <v>#N/A</v>
      </c>
      <c r="L3334" s="459" t="e">
        <v>#N/A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Blue-C tor dolny 6m jasny brąz</v>
      </c>
      <c r="C3335" s="185" t="e">
        <f t="shared" si="105"/>
        <v>#N/A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 t="e">
        <v>#N/A</v>
      </c>
      <c r="I3335" s="460" t="e">
        <v>#N/A</v>
      </c>
      <c r="J3335" s="460" t="e">
        <v>#N/A</v>
      </c>
      <c r="K3335" s="460" t="e">
        <v>#N/A</v>
      </c>
      <c r="L3335" s="459" t="e">
        <v>#N/A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wózek górny Blue 10mm asymetryczny L+P</v>
      </c>
      <c r="C3336" s="185">
        <f t="shared" si="105"/>
        <v>15.244389999999999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1435.1946800000001</v>
      </c>
      <c r="L3336" s="459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wózek górny Blue 10mm symetryczny L+P</v>
      </c>
      <c r="C3337" s="185">
        <f t="shared" si="105"/>
        <v>15.244389999999999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1435.1946800000001</v>
      </c>
      <c r="L3337" s="459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tłumienie Simple/Blue 10/18 25kg L+P</v>
      </c>
      <c r="C3338" s="185">
        <f t="shared" si="105"/>
        <v>109.51739999999999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9728.5697999999993</v>
      </c>
      <c r="L3338" s="459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Elegant II tor dolny 6m, srebrny</v>
      </c>
      <c r="C3339" s="185">
        <f t="shared" si="105"/>
        <v>0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0</v>
      </c>
      <c r="K3339" s="460">
        <v>11227.629139999999</v>
      </c>
      <c r="L3339" s="459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Elegant II tor dolny 6m, jasny brąz</v>
      </c>
      <c r="C3340" s="185">
        <f t="shared" si="105"/>
        <v>0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0</v>
      </c>
      <c r="K3340" s="460">
        <v>14122.17425</v>
      </c>
      <c r="L3340" s="459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U profil stalowy 6 m srebrny</v>
      </c>
      <c r="C3341" s="185" t="e">
        <f t="shared" si="105"/>
        <v>#N/A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 t="e">
        <v>#N/A</v>
      </c>
      <c r="I3341" s="460" t="e">
        <v>#N/A</v>
      </c>
      <c r="J3341" s="460" t="e">
        <v>#N/A</v>
      </c>
      <c r="K3341" s="460" t="e">
        <v>#N/A</v>
      </c>
      <c r="L3341" s="459" t="e">
        <v>#N/A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zamek do drzwi przesuwnych 18 mm (identyczny klucz)</v>
      </c>
      <c r="C3342" s="185" t="e">
        <f t="shared" si="105"/>
        <v>#N/A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 t="e">
        <v>#N/A</v>
      </c>
      <c r="I3342" s="460" t="e">
        <v>#N/A</v>
      </c>
      <c r="J3342" s="460" t="e">
        <v>#N/A</v>
      </c>
      <c r="K3342" s="460" t="e">
        <v>#N/A</v>
      </c>
      <c r="L3342" s="459" t="e">
        <v>#N/A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Gemini II tor dolny 1,7m biały połysk</v>
      </c>
      <c r="C3343" s="185" t="e">
        <f t="shared" si="105"/>
        <v>#N/A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 t="e">
        <v>#N/A</v>
      </c>
      <c r="I3343" s="460" t="e">
        <v>#N/A</v>
      </c>
      <c r="J3343" s="460" t="e">
        <v>#N/A</v>
      </c>
      <c r="K3343" s="460" t="e">
        <v>#N/A</v>
      </c>
      <c r="L3343" s="459" t="e">
        <v>#N/A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Gemini II tor dolny 2,35m biały połysk</v>
      </c>
      <c r="C3344" s="185" t="e">
        <f t="shared" si="105"/>
        <v>#N/A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 t="e">
        <v>#N/A</v>
      </c>
      <c r="I3344" s="460" t="e">
        <v>#N/A</v>
      </c>
      <c r="J3344" s="460" t="e">
        <v>#N/A</v>
      </c>
      <c r="K3344" s="460" t="e">
        <v>#N/A</v>
      </c>
      <c r="L3344" s="459" t="e">
        <v>#N/A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Gemini II tor dolny 3m biały połysk</v>
      </c>
      <c r="C3345" s="185">
        <f t="shared" si="105"/>
        <v>73.929599999999994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7151.2288200000003</v>
      </c>
      <c r="L3345" s="459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Gemini II tor dolny 4,05m biały połysk</v>
      </c>
      <c r="C3346" s="185" t="e">
        <f t="shared" si="105"/>
        <v>#N/A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 t="e">
        <v>#N/A</v>
      </c>
      <c r="I3346" s="460" t="e">
        <v>#N/A</v>
      </c>
      <c r="J3346" s="460" t="e">
        <v>#N/A</v>
      </c>
      <c r="K3346" s="460" t="e">
        <v>#N/A</v>
      </c>
      <c r="L3346" s="459" t="e">
        <v>#N/A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Gemini II tor dolny 6m biały połysk</v>
      </c>
      <c r="C3347" s="185">
        <f t="shared" si="105"/>
        <v>0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0</v>
      </c>
      <c r="K3347" s="460">
        <v>14312.4732</v>
      </c>
      <c r="L3347" s="459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tłumienie Mini SV60 (40 - 60kg)</v>
      </c>
      <c r="C3348" s="185">
        <f t="shared" si="105"/>
        <v>96.889799999999994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9041.7265599999992</v>
      </c>
      <c r="L3348" s="459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Micra szablon do wózków - 1 para</v>
      </c>
      <c r="C3349" s="185">
        <f t="shared" si="105"/>
        <v>23.25816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Ursus tor górny 3,6 m surowy</v>
      </c>
      <c r="C3350" s="185" t="e">
        <f t="shared" si="105"/>
        <v>#N/A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 t="e">
        <v>#N/A</v>
      </c>
      <c r="I3350" s="460" t="e">
        <v>#N/A</v>
      </c>
      <c r="J3350" s="460" t="e">
        <v>#N/A</v>
      </c>
      <c r="K3350" s="460" t="e">
        <v>#N/A</v>
      </c>
      <c r="L3350" s="459" t="e">
        <v>#N/A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rączka 2,8m jasny brąz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Pax uchwyt przyklejany przeźroczysty</v>
      </c>
      <c r="C3352" s="185" t="e">
        <f t="shared" si="105"/>
        <v>#N/A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 t="e">
        <v>#N/A</v>
      </c>
      <c r="I3352" s="460" t="e">
        <v>#N/A</v>
      </c>
      <c r="J3352" s="460" t="e">
        <v>#N/A</v>
      </c>
      <c r="K3352" s="460" t="e">
        <v>#N/A</v>
      </c>
      <c r="L3352" s="459" t="e">
        <v>#N/A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profil "U" do płyty laminowanej 18mm 3m biały połysk</v>
      </c>
      <c r="C3353" s="185">
        <f t="shared" si="105"/>
        <v>27.009599999999999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2383.7428100000002</v>
      </c>
      <c r="L3353" s="459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szczotka odbojowa z klejem 6,7x9mm szara</v>
      </c>
      <c r="C3354" s="185">
        <f t="shared" si="105"/>
        <v>1.581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153.77086</v>
      </c>
      <c r="L3354" s="459" t="s">
        <v>538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2x wózek dolny WD18V bez pozycjonera ze sprężyną</v>
      </c>
      <c r="C3355" s="185">
        <f t="shared" si="105"/>
        <v>24.316800000000001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2060.5293299999998</v>
      </c>
      <c r="L3355" s="459" t="s">
        <v>538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2x wózek dolny do płyty laminowanej 18mm bez pozycjonera bez sprężyny</v>
      </c>
      <c r="C3356" s="185">
        <f t="shared" si="105"/>
        <v>18.35596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1937.5129899999999</v>
      </c>
      <c r="L3356" s="459" t="s">
        <v>538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Pax XL rączka 2,7m biały polysk</v>
      </c>
      <c r="C3357" s="185" t="e">
        <f t="shared" si="105"/>
        <v>#N/A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 t="e">
        <v>#N/A</v>
      </c>
      <c r="I3357" s="460" t="e">
        <v>#N/A</v>
      </c>
      <c r="J3357" s="460" t="e">
        <v>#N/A</v>
      </c>
      <c r="K3357" s="460" t="e">
        <v>#N/A</v>
      </c>
      <c r="L3357" s="459" t="e">
        <v>#N/A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zamek do drzwi przesuwnych, do rączek Karat i Prosper</v>
      </c>
      <c r="C3358" s="185">
        <f t="shared" si="105"/>
        <v>134.51759999999999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14382.7009</v>
      </c>
      <c r="L3358" s="459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Szpros S18 z klejem 3m biały połysk</v>
      </c>
      <c r="C3359" s="185">
        <f t="shared" si="105"/>
        <v>51.453940000000003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5759.0426799999996</v>
      </c>
      <c r="L3359" s="459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Single tor górny 6m jasny brąz</v>
      </c>
      <c r="C3360" s="185" t="e">
        <f t="shared" si="105"/>
        <v>#N/A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 t="e">
        <v>#N/A</v>
      </c>
      <c r="I3360" s="460" t="e">
        <v>#N/A</v>
      </c>
      <c r="J3360" s="460" t="e">
        <v>#N/A</v>
      </c>
      <c r="K3360" s="460" t="e">
        <v>#N/A</v>
      </c>
      <c r="L3360" s="459" t="e">
        <v>#N/A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wózek dolny WD10 V Duo 60kg (2 szt)</v>
      </c>
      <c r="C3361" s="185">
        <f t="shared" si="105"/>
        <v>65.147400000000005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7339.9954900000002</v>
      </c>
      <c r="L3361" s="459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Oxford rączka 2,7m srebrny</v>
      </c>
      <c r="C3362" s="185" t="e">
        <f t="shared" si="105"/>
        <v>#N/A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 t="e">
        <v>#N/A</v>
      </c>
      <c r="I3362" s="460" t="e">
        <v>#N/A</v>
      </c>
      <c r="J3362" s="460" t="e">
        <v>#N/A</v>
      </c>
      <c r="K3362" s="460" t="e">
        <v>#N/A</v>
      </c>
      <c r="L3362" s="459" t="e">
        <v>#N/A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Ekonomik rączka 2,7m srebrny</v>
      </c>
      <c r="C3363" s="185" t="e">
        <f t="shared" si="105"/>
        <v>#N/A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 t="e">
        <v>#N/A</v>
      </c>
      <c r="I3363" s="460" t="e">
        <v>#N/A</v>
      </c>
      <c r="J3363" s="460" t="e">
        <v>#N/A</v>
      </c>
      <c r="K3363" s="460" t="e">
        <v>#N/A</v>
      </c>
      <c r="L3363" s="459" t="e">
        <v>#N/A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Ekonomik tor górny 2m srebrny</v>
      </c>
      <c r="C3364" s="185" t="e">
        <f t="shared" si="105"/>
        <v>#N/A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 t="e">
        <v>#N/A</v>
      </c>
      <c r="I3364" s="460" t="e">
        <v>#N/A</v>
      </c>
      <c r="J3364" s="460" t="e">
        <v>#N/A</v>
      </c>
      <c r="K3364" s="460" t="e">
        <v>#N/A</v>
      </c>
      <c r="L3364" s="459" t="e">
        <v>#N/A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Ekonomik tor górny 3m srebrny</v>
      </c>
      <c r="C3365" s="185">
        <f t="shared" si="105"/>
        <v>89.086799999999997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9825.4274700000005</v>
      </c>
      <c r="L3365" s="459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Ekonomik tor górny 6m srebrny</v>
      </c>
      <c r="C3366" s="185" t="e">
        <f t="shared" si="105"/>
        <v>#N/A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 t="e">
        <v>#N/A</v>
      </c>
      <c r="I3366" s="460" t="e">
        <v>#N/A</v>
      </c>
      <c r="J3366" s="460" t="e">
        <v>#N/A</v>
      </c>
      <c r="K3366" s="460" t="e">
        <v>#N/A</v>
      </c>
      <c r="L3366" s="459" t="e">
        <v>#N/A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Ekonomik tor dolny 2m srebrny</v>
      </c>
      <c r="C3367" s="185" t="e">
        <f t="shared" si="105"/>
        <v>#N/A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 t="e">
        <v>#N/A</v>
      </c>
      <c r="I3367" s="460" t="e">
        <v>#N/A</v>
      </c>
      <c r="J3367" s="460" t="e">
        <v>#N/A</v>
      </c>
      <c r="K3367" s="460" t="e">
        <v>#N/A</v>
      </c>
      <c r="L3367" s="459" t="e">
        <v>#N/A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Ekonomik tor dolny 3m srebrny</v>
      </c>
      <c r="C3368" s="185">
        <f t="shared" si="105"/>
        <v>49.225200000000001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5428.5237900000002</v>
      </c>
      <c r="L3368" s="459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Ekonomik tor dolny 6m srebrny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wózek górny Ekonomik Duo</v>
      </c>
      <c r="C3370" s="185">
        <f t="shared" si="105"/>
        <v>6.8120000000000003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799.60839999999996</v>
      </c>
      <c r="L3370" s="459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wózek dolny Ekonomik WD10V</v>
      </c>
      <c r="C3371" s="185">
        <f t="shared" si="105"/>
        <v>11.543100000000001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1353.18363</v>
      </c>
      <c r="L3371" s="459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blachowkręt 2,9x6,5 Ekonomik (100 szt)</v>
      </c>
      <c r="C3372" s="185">
        <f t="shared" si="105"/>
        <v>8.67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881.61941999999999</v>
      </c>
      <c r="L3372" s="459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Ekonomik zestaw okuć dla 2 drzwi</v>
      </c>
      <c r="C3373" s="185" t="e">
        <f t="shared" si="105"/>
        <v>#N/A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 t="e">
        <v>#N/A</v>
      </c>
      <c r="I3373" s="460" t="e">
        <v>#N/A</v>
      </c>
      <c r="J3373" s="460" t="e">
        <v>#N/A</v>
      </c>
      <c r="K3373" s="460" t="e">
        <v>#N/A</v>
      </c>
      <c r="L3373" s="459" t="e">
        <v>#N/A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wkręt Unix 3x10mm (1000 szt)</v>
      </c>
      <c r="C3374" s="185" t="e">
        <f t="shared" si="105"/>
        <v>#N/A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 t="e">
        <v>#N/A</v>
      </c>
      <c r="I3374" s="460" t="e">
        <v>#N/A</v>
      </c>
      <c r="J3374" s="460" t="e">
        <v>#N/A</v>
      </c>
      <c r="K3374" s="460" t="e">
        <v>#N/A</v>
      </c>
      <c r="L3374" s="459" t="e">
        <v>#N/A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wkręt Unix 3x16mm (100 szt)</v>
      </c>
      <c r="C3375" s="185" t="e">
        <f t="shared" si="105"/>
        <v>#N/A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 t="e">
        <v>#N/A</v>
      </c>
      <c r="I3375" s="460" t="e">
        <v>#N/A</v>
      </c>
      <c r="J3375" s="460" t="e">
        <v>#N/A</v>
      </c>
      <c r="K3375" s="460" t="e">
        <v>#N/A</v>
      </c>
      <c r="L3375" s="459" t="e">
        <v>#N/A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podkładka okrągła 3x6mm (100 szt)</v>
      </c>
      <c r="C3376" s="185">
        <f t="shared" si="105"/>
        <v>17.718050000000002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1983.11376</v>
      </c>
      <c r="L3376" s="459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Ekonomik zestaw okuć dla 3 drzwi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Herkules plus tor górny 3 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profile "U" Mini 36 do DTD 2x18 mm srebrny 3 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klucz imbusowy SEVROLL</v>
      </c>
      <c r="C3380" s="185">
        <f t="shared" si="105"/>
        <v>13.870189999999999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1552.4376</v>
      </c>
      <c r="L3380" s="459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Rączka Era 18 mm 2,70 m, biała połysk</v>
      </c>
      <c r="C3381" s="185">
        <f t="shared" si="105"/>
        <v>55.817450000000001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6215.6025399999999</v>
      </c>
      <c r="L3381" s="459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Rączka Vitara 2,7m srebrna</v>
      </c>
      <c r="C3382" s="185">
        <f t="shared" si="105"/>
        <v>57.018000000000001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5598.7912200000001</v>
      </c>
      <c r="L3382" s="459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Rączka Vitara 2,7m oliwka</v>
      </c>
      <c r="C3383" s="185">
        <f t="shared" si="105"/>
        <v>63.872399999999999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7021.0240599999997</v>
      </c>
      <c r="L3383" s="459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Rączka Vitara 2,7m biały błyszczący</v>
      </c>
      <c r="C3384" s="185">
        <f t="shared" si="105"/>
        <v>74.143799999999999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7271.4172099999996</v>
      </c>
      <c r="L3384" s="459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Klamra ścienna do płyty 16 - 25mm</v>
      </c>
      <c r="C3385" s="185">
        <f t="shared" si="105"/>
        <v>7.9903700000000004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883.74058000000002</v>
      </c>
      <c r="L3385" s="459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SEVROLL 214-694 Herkules II listwa maskująca 1,8m srebrna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profil maskujący Herakles 3m</v>
      </c>
      <c r="C3387" s="185" t="e">
        <f t="shared" si="105"/>
        <v>#N/A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 t="e">
        <v>#N/A</v>
      </c>
      <c r="I3387" s="460" t="e">
        <v>#N/A</v>
      </c>
      <c r="J3387" s="460" t="e">
        <v>#N/A</v>
      </c>
      <c r="K3387" s="460" t="e">
        <v>#N/A</v>
      </c>
      <c r="L3387" s="459" t="e">
        <v>#N/A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/>
      </c>
      <c r="C3388" s="185" t="e">
        <f t="shared" si="105"/>
        <v>#N/A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 t="e">
        <v>#N/A</v>
      </c>
      <c r="I3388" s="460" t="e">
        <v>#N/A</v>
      </c>
      <c r="J3388" s="460" t="e">
        <v>#N/A</v>
      </c>
      <c r="K3388" s="460" t="e">
        <v>#N/A</v>
      </c>
      <c r="L3388" s="459" t="e">
        <v>#N/A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20392 Amortyzator Herakles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20393 Amortyzator Herakles 40 - 80kg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Zestaw okuć Herakles ZPH-18 na 1 skrzydło</v>
      </c>
      <c r="C3391" s="185">
        <f t="shared" si="105"/>
        <v>65.520989999999998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7246.6725800000004</v>
      </c>
      <c r="L3391" s="459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/>
      </c>
      <c r="C3392" s="185">
        <f t="shared" si="105"/>
        <v>6.39229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706.99252999999999</v>
      </c>
      <c r="L3392" s="459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Szpros S10 3m srebrny</v>
      </c>
      <c r="C3393" s="185" t="e">
        <f t="shared" si="105"/>
        <v>#N/A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 t="e">
        <v>#N/A</v>
      </c>
      <c r="I3393" s="460" t="e">
        <v>#N/A</v>
      </c>
      <c r="J3393" s="460" t="e">
        <v>#N/A</v>
      </c>
      <c r="K3393" s="460" t="e">
        <v>#N/A</v>
      </c>
      <c r="L3393" s="459" t="e">
        <v>#N/A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Szpros S20 3m srebrny</v>
      </c>
      <c r="C3394" s="185" t="e">
        <f t="shared" si="105"/>
        <v>#N/A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 t="e">
        <v>#N/A</v>
      </c>
      <c r="I3394" s="460" t="e">
        <v>#N/A</v>
      </c>
      <c r="J3394" s="460" t="e">
        <v>#N/A</v>
      </c>
      <c r="K3394" s="460" t="e">
        <v>#N/A</v>
      </c>
      <c r="L3394" s="459" t="e">
        <v>#N/A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Prosty szablon do wózków do laminatu 18mm</v>
      </c>
      <c r="C3395" s="185">
        <f t="shared" si="105"/>
        <v>20.175750000000001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 t="e">
        <f t="shared" ref="C3396:C3459" si="107">IF($A$2=1,H3396,IF($A$2=2,I3396,IF($A$2=3,J3396,IF($A$2=4,K3396,IF($A$2&gt;4,O3396,"zadat jazyk")))))</f>
        <v>#N/A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 t="e">
        <v>#N/A</v>
      </c>
      <c r="I3396" s="460" t="e">
        <v>#N/A</v>
      </c>
      <c r="J3396" s="460" t="e">
        <v>#N/A</v>
      </c>
      <c r="K3396" s="460" t="e">
        <v>#N/A</v>
      </c>
      <c r="L3396" s="459" t="e">
        <v>#N/A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/>
      </c>
      <c r="C3397" s="185" t="e">
        <f t="shared" si="107"/>
        <v>#N/A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 t="e">
        <v>#N/A</v>
      </c>
      <c r="I3397" s="460" t="e">
        <v>#N/A</v>
      </c>
      <c r="J3397" s="460" t="e">
        <v>#N/A</v>
      </c>
      <c r="K3397" s="460" t="e">
        <v>#N/A</v>
      </c>
      <c r="L3397" s="459" t="e">
        <v>#N/A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/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zaślepka do toru Elegant II 3m, biała matowa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mocowanie toru górnego do lamina 25 - 45 mm</v>
      </c>
      <c r="C3400" s="185" t="e">
        <f t="shared" si="107"/>
        <v>#N/A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 t="e">
        <v>#N/A</v>
      </c>
      <c r="I3400" s="460" t="e">
        <v>#N/A</v>
      </c>
      <c r="J3400" s="460" t="e">
        <v>#N/A</v>
      </c>
      <c r="K3400" s="460" t="e">
        <v>#N/A</v>
      </c>
      <c r="L3400" s="459" t="e">
        <v>#N/A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/>
      </c>
      <c r="C3401" s="185" t="e">
        <f t="shared" si="107"/>
        <v>#N/A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 t="e">
        <v>#N/A</v>
      </c>
      <c r="I3401" s="460" t="e">
        <v>#N/A</v>
      </c>
      <c r="J3401" s="460" t="e">
        <v>#N/A</v>
      </c>
      <c r="K3401" s="460" t="e">
        <v>#N/A</v>
      </c>
      <c r="L3401" s="459" t="e">
        <v>#N/A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/>
      </c>
      <c r="C3402" s="185" t="e">
        <f t="shared" si="107"/>
        <v>#N/A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 t="e">
        <v>#N/A</v>
      </c>
      <c r="I3402" s="460" t="e">
        <v>#N/A</v>
      </c>
      <c r="J3402" s="460" t="e">
        <v>#N/A</v>
      </c>
      <c r="K3402" s="460" t="e">
        <v>#N/A</v>
      </c>
      <c r="L3402" s="459" t="e">
        <v>#N/A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/>
      </c>
      <c r="C3403" s="185" t="e">
        <f t="shared" si="107"/>
        <v>#N/A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 t="e">
        <v>#N/A</v>
      </c>
      <c r="I3403" s="460" t="e">
        <v>#N/A</v>
      </c>
      <c r="J3403" s="460" t="e">
        <v>#N/A</v>
      </c>
      <c r="K3403" s="460" t="e">
        <v>#N/A</v>
      </c>
      <c r="L3403" s="459" t="e">
        <v>#N/A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/>
      </c>
      <c r="C3404" s="185" t="e">
        <f t="shared" si="107"/>
        <v>#N/A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 t="e">
        <v>#N/A</v>
      </c>
      <c r="I3404" s="460" t="e">
        <v>#N/A</v>
      </c>
      <c r="J3404" s="460" t="e">
        <v>#N/A</v>
      </c>
      <c r="K3404" s="460" t="e">
        <v>#N/A</v>
      </c>
      <c r="L3404" s="459" t="e">
        <v>#N/A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/>
      </c>
      <c r="C3405" s="185" t="e">
        <f t="shared" si="107"/>
        <v>#N/A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 t="e">
        <v>#N/A</v>
      </c>
      <c r="I3405" s="460" t="e">
        <v>#N/A</v>
      </c>
      <c r="J3405" s="460" t="e">
        <v>#N/A</v>
      </c>
      <c r="K3405" s="460" t="e">
        <v>#N/A</v>
      </c>
      <c r="L3405" s="459" t="e">
        <v>#N/A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klip do mocowanie toru dolnego Gemini</v>
      </c>
      <c r="C3406" s="185">
        <f t="shared" si="107"/>
        <v>0.80537000000000003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90.141710000000003</v>
      </c>
      <c r="L3406" s="459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Tor dolny 2,35 m srebrny</v>
      </c>
      <c r="C3407" s="185" t="e">
        <f t="shared" si="107"/>
        <v>#N/A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 t="e">
        <v>#N/A</v>
      </c>
      <c r="I3407" s="460" t="e">
        <v>#N/A</v>
      </c>
      <c r="J3407" s="460" t="e">
        <v>#N/A</v>
      </c>
      <c r="K3407" s="460" t="e">
        <v>#N/A</v>
      </c>
      <c r="L3407" s="459" t="e">
        <v>#N/A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Tor dolny 3m srebrny</v>
      </c>
      <c r="C3408" s="185">
        <f t="shared" si="107"/>
        <v>100.9392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10366.276830000001</v>
      </c>
      <c r="L3408" s="459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01495 Comfort Tor dolny 4,05 m srebrny</v>
      </c>
      <c r="C3409" s="185" t="e">
        <f t="shared" si="107"/>
        <v>#N/A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 t="e">
        <v>#N/A</v>
      </c>
      <c r="I3409" s="460" t="e">
        <v>#N/A</v>
      </c>
      <c r="J3409" s="460" t="e">
        <v>#N/A</v>
      </c>
      <c r="K3409" s="460" t="e">
        <v>#N/A</v>
      </c>
      <c r="L3409" s="459" t="e">
        <v>#N/A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/>
      </c>
      <c r="C3410" s="185" t="e">
        <f t="shared" si="107"/>
        <v>#N/A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 t="e">
        <v>#N/A</v>
      </c>
      <c r="I3410" s="460" t="e">
        <v>#N/A</v>
      </c>
      <c r="J3410" s="460" t="e">
        <v>#N/A</v>
      </c>
      <c r="K3410" s="460" t="e">
        <v>#N/A</v>
      </c>
      <c r="L3410" s="459" t="e">
        <v>#N/A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/>
      </c>
      <c r="C3411" s="185" t="e">
        <f t="shared" si="107"/>
        <v>#N/A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 t="e">
        <v>#N/A</v>
      </c>
      <c r="I3411" s="460" t="e">
        <v>#N/A</v>
      </c>
      <c r="J3411" s="460" t="e">
        <v>#N/A</v>
      </c>
      <c r="K3411" s="460" t="e">
        <v>#N/A</v>
      </c>
      <c r="L3411" s="459" t="e">
        <v>#N/A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SEVROLL 222883 gąbka do usuwania drobnych zarysowań na srebrnych alu profilach</v>
      </c>
      <c r="C3412" s="185" t="e">
        <f t="shared" si="107"/>
        <v>#N/A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 t="e">
        <v>#N/A</v>
      </c>
      <c r="I3412" s="460" t="e">
        <v>#N/A</v>
      </c>
      <c r="J3412" s="460" t="e">
        <v>#N/A</v>
      </c>
      <c r="K3412" s="460" t="e">
        <v>#N/A</v>
      </c>
      <c r="L3412" s="459" t="e">
        <v>#N/A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Micra V komplet okuć dla 1 skrzydła</v>
      </c>
      <c r="C3413" s="185">
        <f t="shared" si="107"/>
        <v>25.214400000000001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2443.8374100000001</v>
      </c>
      <c r="L3413" s="459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Maxim tor górny 1,8m srebrny</v>
      </c>
      <c r="C3414" s="185" t="e">
        <f t="shared" si="107"/>
        <v>#N/A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 t="e">
        <v>#N/A</v>
      </c>
      <c r="I3414" s="460" t="e">
        <v>#N/A</v>
      </c>
      <c r="J3414" s="460" t="e">
        <v>#N/A</v>
      </c>
      <c r="K3414" s="460" t="e">
        <v>#N/A</v>
      </c>
      <c r="L3414" s="459" t="e">
        <v>#N/A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Maxim maskownica dolna 1,8m 18mm srebrny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dolna listwa maskująca Simple/Blue 2m(do lam.18mm) biały błyszczący</v>
      </c>
      <c r="C3416" s="185">
        <f t="shared" si="107"/>
        <v>85.189250000000001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6775.10851</v>
      </c>
      <c r="L3416" s="459" t="s">
        <v>539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maskownica dolna Simple/Blue 3m (do płyty laminowanej 18mm) biały połysk</v>
      </c>
      <c r="C3417" s="185">
        <f t="shared" si="107"/>
        <v>127.83893999999999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10152.490110000001</v>
      </c>
      <c r="L3417" s="459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górna listwa prowadząca Simple/Blue 2m (do lam. 18mm)biały błyszczący</v>
      </c>
      <c r="C3418" s="185">
        <f t="shared" si="107"/>
        <v>44.207169999999998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3458.7641899999999</v>
      </c>
      <c r="L3418" s="459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tor dolny Simple/Blue 3m (do płyty laminowanej 18mm) srebrny</v>
      </c>
      <c r="C3419" s="185">
        <f t="shared" si="107"/>
        <v>66.326480000000004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5188.1462799999999</v>
      </c>
      <c r="L3419" s="459" t="s">
        <v>539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listwa łącząca Simple/Blue H21 3m (do płyty laminowanej 18mm) biały poły</v>
      </c>
      <c r="C3420" s="185">
        <f t="shared" si="107"/>
        <v>61.339410000000001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5808.6891100000003</v>
      </c>
      <c r="L3420" s="459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listwa łącząca Simple/Blue H28 3m (do płyty laminowanej 18mm) biały poły</v>
      </c>
      <c r="C3421" s="185">
        <f t="shared" si="107"/>
        <v>93.29128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10060.93482</v>
      </c>
      <c r="L3421" s="459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Blue-V tor dolny 2m  biały połysk</v>
      </c>
      <c r="C3422" s="185">
        <f t="shared" si="107"/>
        <v>44.993769999999998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4099.6527800000003</v>
      </c>
      <c r="L3422" s="459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Blue-V tor dolny 3m biały połysk</v>
      </c>
      <c r="C3423" s="185">
        <f t="shared" si="107"/>
        <v>67.490650000000002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6154.5656900000004</v>
      </c>
      <c r="L3423" s="459" t="s">
        <v>538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Blue-V tor dolny 6m biały połysk</v>
      </c>
      <c r="C3424" s="185">
        <f t="shared" si="107"/>
        <v>0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0</v>
      </c>
      <c r="K3424" s="460">
        <v>12298.958689999999</v>
      </c>
      <c r="L3424" s="459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Blue tor gótny 2m biały błyszczący</v>
      </c>
      <c r="C3425" s="185">
        <f t="shared" si="107"/>
        <v>66.342209999999994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7670.3183900000004</v>
      </c>
      <c r="L3425" s="459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Blue tor górny 3m biały połysk</v>
      </c>
      <c r="C3426" s="185">
        <f t="shared" si="107"/>
        <v>99.55265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11505.47718</v>
      </c>
      <c r="L3426" s="459" t="s">
        <v>539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Blue tor górny 6m biały połysk</v>
      </c>
      <c r="C3427" s="185">
        <f t="shared" si="107"/>
        <v>0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0</v>
      </c>
      <c r="K3427" s="460">
        <v>23010.95477</v>
      </c>
      <c r="L3427" s="459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04920 Lynx Rączka 2,7m srebrna</v>
      </c>
      <c r="C3428" s="185">
        <f t="shared" si="107"/>
        <v>80.671800000000005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8673.6189099999992</v>
      </c>
      <c r="L3428" s="459" t="s">
        <v>539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Rączka Lynx 2,7m oliwka</v>
      </c>
      <c r="C3429" s="185" t="e">
        <f t="shared" si="107"/>
        <v>#N/A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 t="e">
        <v>#N/A</v>
      </c>
      <c r="I3429" s="460" t="e">
        <v>#N/A</v>
      </c>
      <c r="J3429" s="460" t="e">
        <v>#N/A</v>
      </c>
      <c r="K3429" s="460" t="e">
        <v>#N/A</v>
      </c>
      <c r="L3429" s="459" t="e">
        <v>#N/A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Alfa II rączka 18mm 2,7m biały matowy</v>
      </c>
      <c r="C3430" s="185">
        <f t="shared" si="107"/>
        <v>66.463200000000001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6329.9391800000003</v>
      </c>
      <c r="L3430" s="459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Elegant II tor dolny 1,7 m biały matowy</v>
      </c>
      <c r="C3431" s="185">
        <f t="shared" si="107"/>
        <v>40.698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4176.5579900000002</v>
      </c>
      <c r="L3431" s="459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Elegant II tor dolny 2,35 m biały matowy</v>
      </c>
      <c r="C3432" s="185">
        <f t="shared" si="107"/>
        <v>56.253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5739.01116</v>
      </c>
      <c r="L3432" s="459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Elegant II tor dolny 4,05 m biały matowy</v>
      </c>
      <c r="C3433" s="185">
        <f t="shared" si="107"/>
        <v>96.930599999999998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9875.5060699999995</v>
      </c>
      <c r="L3433" s="459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Elegant II tor dolny 6m biały mat</v>
      </c>
      <c r="C3434" s="185">
        <f t="shared" si="107"/>
        <v>0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0</v>
      </c>
      <c r="K3434" s="460">
        <v>14592.91346</v>
      </c>
      <c r="L3434" s="459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Gemini tor górny 1,7 m biały matowy</v>
      </c>
      <c r="C3435" s="185">
        <f t="shared" si="107"/>
        <v>74.653800000000004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7081.1186600000001</v>
      </c>
      <c r="L3435" s="459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Gemini tor górny 2,35 m biały matowy</v>
      </c>
      <c r="C3436" s="185">
        <f t="shared" si="107"/>
        <v>103.20359999999999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9795.3803599999992</v>
      </c>
      <c r="L3436" s="459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Gemini tor górny 4,05 m biały matowy</v>
      </c>
      <c r="C3437" s="185">
        <f t="shared" si="107"/>
        <v>177.9186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16876.499019999999</v>
      </c>
      <c r="L3437" s="459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Gemini tor górny 6m biały matowy</v>
      </c>
      <c r="C3438" s="185">
        <f t="shared" si="107"/>
        <v>0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0</v>
      </c>
      <c r="K3438" s="460">
        <v>24999.252980000001</v>
      </c>
      <c r="L3438" s="459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kątownik Mini 17x11 mm 1,7 m biały matowy</v>
      </c>
      <c r="C3439" s="185">
        <f t="shared" si="107"/>
        <v>12.2094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1221.9187199999999</v>
      </c>
      <c r="L3439" s="459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kątownik Mini 17x11mm 2,35 m biały matowy</v>
      </c>
      <c r="C3440" s="185">
        <f t="shared" si="107"/>
        <v>16.901399999999999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1692.6579200000001</v>
      </c>
      <c r="L3440" s="459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zaślepka do toru Elegant II 6m biały mat</v>
      </c>
      <c r="C3441" s="185">
        <f t="shared" si="107"/>
        <v>0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0</v>
      </c>
      <c r="K3441" s="460">
        <v>4527.1084300000002</v>
      </c>
      <c r="L3441" s="459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zaślepka do toru Elegant II 1,7m biały matowy</v>
      </c>
      <c r="C3442" s="185">
        <f t="shared" si="107"/>
        <v>12.199199999999999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1282.0129099999999</v>
      </c>
      <c r="L3442" s="459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Eden tor górny 2,35m srebrny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Eden tor górny 2,35m srebrny</v>
      </c>
      <c r="C3444" s="185" t="e">
        <f t="shared" si="107"/>
        <v>#N/A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 t="e">
        <v>#N/A</v>
      </c>
      <c r="I3444" s="460" t="e">
        <v>#N/A</v>
      </c>
      <c r="J3444" s="460" t="e">
        <v>#N/A</v>
      </c>
      <c r="K3444" s="460" t="e">
        <v>#N/A</v>
      </c>
      <c r="L3444" s="459" t="e">
        <v>#N/A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Eden tor górny 2,35m srebrny</v>
      </c>
      <c r="C3445" s="185" t="e">
        <f t="shared" si="107"/>
        <v>#N/A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 t="e">
        <v>#N/A</v>
      </c>
      <c r="I3445" s="460" t="e">
        <v>#N/A</v>
      </c>
      <c r="J3445" s="460" t="e">
        <v>#N/A</v>
      </c>
      <c r="K3445" s="460" t="e">
        <v>#N/A</v>
      </c>
      <c r="L3445" s="459" t="e">
        <v>#N/A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Eden zestaw okuć dla 2 drzwi</v>
      </c>
      <c r="C3446" s="185" t="e">
        <f t="shared" si="107"/>
        <v>#N/A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 t="e">
        <v>#N/A</v>
      </c>
      <c r="I3446" s="460" t="e">
        <v>#N/A</v>
      </c>
      <c r="J3446" s="460" t="e">
        <v>#N/A</v>
      </c>
      <c r="K3446" s="460" t="e">
        <v>#N/A</v>
      </c>
      <c r="L3446" s="459" t="e">
        <v>#N/A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Eden zestaw okuć dla 2 drzwi</v>
      </c>
      <c r="C3447" s="185" t="e">
        <f t="shared" si="107"/>
        <v>#N/A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 t="e">
        <v>#N/A</v>
      </c>
      <c r="I3447" s="460" t="e">
        <v>#N/A</v>
      </c>
      <c r="J3447" s="460" t="e">
        <v>#N/A</v>
      </c>
      <c r="K3447" s="460" t="e">
        <v>#N/A</v>
      </c>
      <c r="L3447" s="459" t="e">
        <v>#N/A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zaślepka do toru Elegant II 2,35m biały matowy</v>
      </c>
      <c r="C3448" s="185">
        <f t="shared" si="107"/>
        <v>16.870799999999999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1772.7836600000001</v>
      </c>
      <c r="L3448" s="459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zaślepka do toru Elegant II 3m biały matowy</v>
      </c>
      <c r="C3449" s="185">
        <f t="shared" si="107"/>
        <v>21.542400000000001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2263.5540099999998</v>
      </c>
      <c r="L3449" s="459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zaślepka do toru Elegant II 4,05m biały matowy</v>
      </c>
      <c r="C3450" s="185">
        <f t="shared" si="107"/>
        <v>29.07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3054.79655</v>
      </c>
      <c r="L3450" s="459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Alfa II rączka 18mm 2,7m czarny połysk</v>
      </c>
      <c r="C3451" s="185">
        <f t="shared" si="107"/>
        <v>66.463200000000001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6329.9391800000003</v>
      </c>
      <c r="L3451" s="459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Fox II rączka 2,7m czarny połysk</v>
      </c>
      <c r="C3452" s="185">
        <f t="shared" si="107"/>
        <v>80.416799999999995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8313.0529399999996</v>
      </c>
      <c r="L3452" s="459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listwa łącząca H10 3m czarny połysk</v>
      </c>
      <c r="C3453" s="185">
        <f t="shared" si="107"/>
        <v>67.289400000000001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6089.5615900000003</v>
      </c>
      <c r="L3453" s="459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Gemini tor górny 2,35 m czarny połysk</v>
      </c>
      <c r="C3454" s="185">
        <f t="shared" si="107"/>
        <v>103.20359999999999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9795.3803599999992</v>
      </c>
      <c r="L3454" s="459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Elegant II tor dolny 2,35 m czarny połysk</v>
      </c>
      <c r="C3455" s="185">
        <f t="shared" si="107"/>
        <v>56.242800000000003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5739.01116</v>
      </c>
      <c r="L3455" s="459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zaślepka do toru Elegant II 2,35m czarny połysk</v>
      </c>
      <c r="C3456" s="185">
        <f t="shared" si="107"/>
        <v>16.870799999999999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1772.7836600000001</v>
      </c>
      <c r="L3456" s="459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zestaw okuc do drzwi wewnętrznych</v>
      </c>
      <c r="C3457" s="185" t="e">
        <f t="shared" si="107"/>
        <v>#N/A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 t="e">
        <v>#N/A</v>
      </c>
      <c r="I3457" s="460" t="e">
        <v>#N/A</v>
      </c>
      <c r="J3457" s="460" t="e">
        <v>#N/A</v>
      </c>
      <c r="K3457" s="460" t="e">
        <v>#N/A</v>
      </c>
      <c r="L3457" s="459" t="e">
        <v>#N/A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wózek do drzwi wewnętrznych Simple 18 Inter / Galaxy 35 / 50kg</v>
      </c>
      <c r="C3458" s="185">
        <f t="shared" si="107"/>
        <v>29.475570000000001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3260.0208299999999</v>
      </c>
      <c r="L3458" s="459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tłumienie do drzwi wewnętrznych  Simple 18 Galaxy 50kg</v>
      </c>
      <c r="C3459" s="185">
        <f t="shared" si="107"/>
        <v>86.651060000000001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9583.67533</v>
      </c>
      <c r="L3459" s="459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zestaw okuć do drzwi wewnętrznych Simple 18 Inter/Galaxy 50kg</v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0</v>
      </c>
      <c r="I3460" s="460">
        <v>0</v>
      </c>
      <c r="J3460" s="460">
        <v>0</v>
      </c>
      <c r="K3460" s="460">
        <v>0</v>
      </c>
      <c r="L3460" s="459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listwa maskująca Herkules II 2m srebrna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listwa maskująca Herkules Wood 2m srebrna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219-036 Herkules Zestaw listew maskujących + zaslepki i szczotka 2,01m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Top tor górny pojedyńczy 2,35m srebrny</v>
      </c>
      <c r="C3464" s="185">
        <f t="shared" si="109"/>
        <v>91.1982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10055.789489999999</v>
      </c>
      <c r="L3464" s="459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zestaw okuć do drzwi wewnętrznych Simple 18 Galaxy 50kg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0</v>
      </c>
      <c r="I3465" s="460">
        <v>0</v>
      </c>
      <c r="J3465" s="460">
        <v>0</v>
      </c>
      <c r="K3465" s="460">
        <v>0</v>
      </c>
      <c r="L3465" s="459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zestaw okuć do drzwi wewnętrznych Simple 18 Galaxy 50kg 2xtłumienie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0</v>
      </c>
      <c r="I3466" s="460">
        <v>0</v>
      </c>
      <c r="J3466" s="460">
        <v>0</v>
      </c>
      <c r="K3466" s="460">
        <v>0</v>
      </c>
      <c r="L3466" s="459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profil "U" do płyty laminowanej 18mm 3m czarny połysk</v>
      </c>
      <c r="C3467" s="185">
        <f t="shared" si="109"/>
        <v>27.009599999999999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2383.7428100000002</v>
      </c>
      <c r="L3467" s="459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kątownik Mini 17x11 mm 1,7 m czarny połysk</v>
      </c>
      <c r="C3468" s="185">
        <f t="shared" si="109"/>
        <v>12.2094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1221.9187199999999</v>
      </c>
      <c r="L3468" s="459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kątownik Mini 17x11 mm 2,35 m czarny połysk</v>
      </c>
      <c r="C3469" s="185">
        <f t="shared" si="109"/>
        <v>16.901399999999999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1692.6579200000001</v>
      </c>
      <c r="L3469" s="459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kątownik Mini 17x11 mm 3 m czarny połysk</v>
      </c>
      <c r="C3470" s="185">
        <f t="shared" si="109"/>
        <v>21.583200000000001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2163.3967400000001</v>
      </c>
      <c r="L3470" s="459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maskownica dolna 1,7 m 10 mm czarny połysk</v>
      </c>
      <c r="C3471" s="185">
        <f t="shared" si="109"/>
        <v>70.369799999999998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7331.51181</v>
      </c>
      <c r="L3471" s="459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maskownica dolna 2,35 m 10 mm czarny połysk</v>
      </c>
      <c r="C3472" s="185">
        <f t="shared" si="109"/>
        <v>97.287599999999998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10125.899240000001</v>
      </c>
      <c r="L3472" s="459" t="s">
        <v>539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maskownica dolna 3 m 10 mm czarny połysk</v>
      </c>
      <c r="C3473" s="185">
        <f t="shared" si="109"/>
        <v>124.22580000000001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12960.35014</v>
      </c>
      <c r="L3473" s="459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listwa pozioma górna 1,7m czarny połysk</v>
      </c>
      <c r="C3474" s="185">
        <f t="shared" si="109"/>
        <v>59.986199999999997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4036.3376800000001</v>
      </c>
      <c r="L3474" s="459" t="s">
        <v>539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listwa pozioma górna 2,35m czarny połysk</v>
      </c>
      <c r="C3475" s="185">
        <f t="shared" si="109"/>
        <v>82.936199999999999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5588.7752499999997</v>
      </c>
      <c r="L3475" s="459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listwa pozioma górna 3m czarny połysk</v>
      </c>
      <c r="C3476" s="185">
        <f t="shared" si="109"/>
        <v>105.8454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7131.1972999999998</v>
      </c>
      <c r="L3476" s="459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listwa łącząca H18 3m czarny połysk</v>
      </c>
      <c r="C3477" s="185">
        <f t="shared" si="109"/>
        <v>62.464799999999997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5999.42029</v>
      </c>
      <c r="L3477" s="459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Elegant II tor dolny 1,7 m czarny połysk</v>
      </c>
      <c r="C3478" s="185">
        <f t="shared" si="109"/>
        <v>40.698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4176.5579900000002</v>
      </c>
      <c r="L3478" s="459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Elegant II tor dolny 3 m czarny połysk</v>
      </c>
      <c r="C3479" s="185">
        <f t="shared" si="109"/>
        <v>71.808000000000007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7291.4487600000002</v>
      </c>
      <c r="L3479" s="459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Elegant II tor dolny 4,05 m czarny połysk</v>
      </c>
      <c r="C3480" s="185">
        <f t="shared" si="109"/>
        <v>96.930599999999998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9875.5060699999995</v>
      </c>
      <c r="L3480" s="459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Elegant II tor dolny 6m czarny połysk</v>
      </c>
      <c r="C3481" s="185">
        <f t="shared" si="109"/>
        <v>0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0</v>
      </c>
      <c r="K3481" s="460">
        <v>14592.91346</v>
      </c>
      <c r="L3481" s="459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Gemini tor górny 1,7 m czarny połysk</v>
      </c>
      <c r="C3482" s="185">
        <f t="shared" si="109"/>
        <v>74.653800000000004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7081.1186600000001</v>
      </c>
      <c r="L3482" s="459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Gemini tor górny 3 m czarny połysk</v>
      </c>
      <c r="C3483" s="185">
        <f t="shared" si="109"/>
        <v>131.79419999999999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12499.626490000001</v>
      </c>
      <c r="L3483" s="459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Gemini tor górny 4,05 m czarny połysk</v>
      </c>
      <c r="C3484" s="185">
        <f t="shared" si="109"/>
        <v>177.9186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16876.499019999999</v>
      </c>
      <c r="L3484" s="459" t="s">
        <v>539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Gemini tor górny 6m czarny połysk</v>
      </c>
      <c r="C3485" s="185">
        <f t="shared" si="109"/>
        <v>0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0</v>
      </c>
      <c r="K3485" s="460">
        <v>24999.252980000001</v>
      </c>
      <c r="L3485" s="459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zaślepka do toru Elegant II 1,7m czarny połysk</v>
      </c>
      <c r="C3486" s="185">
        <f t="shared" si="109"/>
        <v>12.199199999999999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1282.0129099999999</v>
      </c>
      <c r="L3486" s="459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zaślepka do toru Elegant II 3m czarny połysk</v>
      </c>
      <c r="C3487" s="185">
        <f t="shared" si="109"/>
        <v>21.542400000000001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2263.5540099999998</v>
      </c>
      <c r="L3487" s="459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zaślepka do toru Elegant II 4,05m czarny połysk</v>
      </c>
      <c r="C3488" s="185">
        <f t="shared" si="109"/>
        <v>29.07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3054.79655</v>
      </c>
      <c r="L3488" s="459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zaślepka do toru Elegant II 6m czarny połysk</v>
      </c>
      <c r="C3489" s="185">
        <f t="shared" si="109"/>
        <v>0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0</v>
      </c>
      <c r="K3489" s="460">
        <v>4527.1084300000002</v>
      </c>
      <c r="L3489" s="459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Porto rączka 3m srebrny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Porto rączka 3m jasny brąz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Maxim tor górny 1,8m jasny brąz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listwa łącząca H18 3m biały matowy</v>
      </c>
      <c r="C3493" s="185">
        <f t="shared" si="109"/>
        <v>62.464799999999997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5999.42029</v>
      </c>
      <c r="L3493" s="459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profil "U" do płyty laminowanej 18mm 3m biały matowy</v>
      </c>
      <c r="C3494" s="185">
        <f t="shared" si="109"/>
        <v>27.009599999999999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2383.7428100000002</v>
      </c>
      <c r="L3494" s="459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tor górny 2,35 m czarny mat</v>
      </c>
      <c r="C3495" s="185">
        <f t="shared" si="109"/>
        <v>103.20359999999999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9795.3803599999992</v>
      </c>
      <c r="L3495" s="459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tor górny 4,05 m czarny mat</v>
      </c>
      <c r="C3496" s="185">
        <f t="shared" si="109"/>
        <v>177.9186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16876.499019999999</v>
      </c>
      <c r="L3496" s="459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tor dolny 4,05 m czarny mat</v>
      </c>
      <c r="C3497" s="185">
        <f t="shared" si="109"/>
        <v>96.930599999999998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9875.5060699999995</v>
      </c>
      <c r="L3497" s="459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tor dolny 2,35 m czarny mat</v>
      </c>
      <c r="C3498" s="185">
        <f t="shared" si="109"/>
        <v>56.242800000000003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5739.01116</v>
      </c>
      <c r="L3498" s="459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zaślepka do toru Elegant II 2,35m czarny mat</v>
      </c>
      <c r="C3499" s="185">
        <f t="shared" si="109"/>
        <v>16.870799999999999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1772.7836600000001</v>
      </c>
      <c r="L3499" s="459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zaślepka do toru Elegant II 4,05m czarny mat</v>
      </c>
      <c r="C3500" s="185">
        <f t="shared" si="109"/>
        <v>29.07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3054.79655</v>
      </c>
      <c r="L3500" s="459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kątownik Mini 17x11 mm 2,35 m czarny mat</v>
      </c>
      <c r="C3501" s="185">
        <f t="shared" si="109"/>
        <v>16.901399999999999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1692.6579200000001</v>
      </c>
      <c r="L3501" s="459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listwa łącząca H18 3m czarny mat</v>
      </c>
      <c r="C3502" s="185">
        <f t="shared" si="109"/>
        <v>62.464799999999997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5999.42029</v>
      </c>
      <c r="L3502" s="459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
20334-SV szczotka odbojowa wsuwana 14x4mm czarna</v>
      </c>
      <c r="C3503" s="185">
        <f t="shared" si="109"/>
        <v>1.43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149.05521999999999</v>
      </c>
      <c r="L3503" s="459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szczotka odbojowa wsuwana 4,8x4mm czarna</v>
      </c>
      <c r="C3504" s="185">
        <f t="shared" si="109"/>
        <v>0.59360000000000002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61.50817</v>
      </c>
      <c r="L3504" s="459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kątownik Mini 17x11 mm 3 m czarny mat</v>
      </c>
      <c r="C3505" s="185">
        <f t="shared" si="109"/>
        <v>21.583200000000001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2163.3967400000001</v>
      </c>
      <c r="L3505" s="459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Gemini tor górny 3 m czarny mat</v>
      </c>
      <c r="C3506" s="185">
        <f t="shared" si="109"/>
        <v>131.79419999999999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12499.626490000001</v>
      </c>
      <c r="L3506" s="459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Elegant II tor dolny 3 m czarny mat</v>
      </c>
      <c r="C3507" s="185">
        <f t="shared" si="109"/>
        <v>71.808000000000007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7291.4487600000002</v>
      </c>
      <c r="L3507" s="459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Taboret-podest składany szary wys. 27cm</v>
      </c>
      <c r="C3508" s="185">
        <f t="shared" si="109"/>
        <v>5.6100000000000004E-3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Taboret-podest składany szary wys. 39cm</v>
      </c>
      <c r="C3509" s="185" t="e">
        <f t="shared" si="109"/>
        <v>#N/A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 t="e">
        <v>#N/A</v>
      </c>
      <c r="I3509" s="460" t="e">
        <v>#N/A</v>
      </c>
      <c r="J3509" s="460" t="e">
        <v>#N/A</v>
      </c>
      <c r="K3509" s="460" t="e">
        <v>#N/A</v>
      </c>
      <c r="L3509" s="459" t="e">
        <v>#N/A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maskownica do toru Elegant II 3m czarny mat</v>
      </c>
      <c r="C3510" s="185">
        <f t="shared" si="109"/>
        <v>21.542400000000001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2263.5540099999998</v>
      </c>
      <c r="L3510" s="459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Harmony zestaw okuć dla 2 drzwi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tor dolny 150mm biały matowy (wzorek)</v>
      </c>
      <c r="C3512" s="185" t="e">
        <f t="shared" si="109"/>
        <v>#N/A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 t="e">
        <v>#N/A</v>
      </c>
      <c r="I3512" s="460" t="e">
        <v>#N/A</v>
      </c>
      <c r="J3512" s="460" t="e">
        <v>#N/A</v>
      </c>
      <c r="K3512" s="460" t="e">
        <v>#N/A</v>
      </c>
      <c r="L3512" s="459" t="e">
        <v>#N/A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tor dolny 150mm czarny połysk (wzorek)</v>
      </c>
      <c r="C3513" s="185" t="e">
        <f t="shared" si="109"/>
        <v>#N/A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 t="e">
        <v>#N/A</v>
      </c>
      <c r="I3513" s="460" t="e">
        <v>#N/A</v>
      </c>
      <c r="J3513" s="460" t="e">
        <v>#N/A</v>
      </c>
      <c r="K3513" s="460" t="e">
        <v>#N/A</v>
      </c>
      <c r="L3513" s="459" t="e">
        <v>#N/A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Gemini tor górny 1,7 m czarny mat</v>
      </c>
      <c r="C3514" s="185">
        <f t="shared" si="109"/>
        <v>74.653800000000004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7081.1186600000001</v>
      </c>
      <c r="L3514" s="459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Pax uchwyt przyklejany czarny polysk</v>
      </c>
      <c r="C3515" s="185">
        <f t="shared" si="109"/>
        <v>32.751550000000002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3665.7557099999999</v>
      </c>
      <c r="L3515" s="459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Pax zaślepka do rączki (4 szt.), czarny mat</v>
      </c>
      <c r="C3516" s="185">
        <f t="shared" si="109"/>
        <v>34.68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3567.4838199999999</v>
      </c>
      <c r="L3516" s="459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profil "U" do płyty laminowanej 18mm 3m czarny mat</v>
      </c>
      <c r="C3517" s="185">
        <f t="shared" si="109"/>
        <v>27.009599999999999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2383.7428100000002</v>
      </c>
      <c r="L3517" s="459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kątownik Mini 17x11 mm 1,7 m czarny mat</v>
      </c>
      <c r="C3518" s="185">
        <f t="shared" si="109"/>
        <v>12.2094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1221.9187199999999</v>
      </c>
      <c r="L3518" s="459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listwa pozioma dolna 1,7m 10mm czarny mat</v>
      </c>
      <c r="C3519" s="185">
        <f t="shared" si="109"/>
        <v>70.369799999999998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7331.51181</v>
      </c>
      <c r="L3519" s="459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listwa pozioma dolna 2,35m 10mm czarny mat</v>
      </c>
      <c r="C3520" s="185">
        <f t="shared" si="109"/>
        <v>97.287599999999998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10125.899240000001</v>
      </c>
      <c r="L3520" s="459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listaw pozioma dolna 3m 10mm czarny mat</v>
      </c>
      <c r="C3521" s="185">
        <f t="shared" si="109"/>
        <v>124.22580000000001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12960.35014</v>
      </c>
      <c r="L3521" s="459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Pax maskownica dolna 3m 4mm czarny mat</v>
      </c>
      <c r="C3522" s="185">
        <f t="shared" si="109"/>
        <v>129.11160000000001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13020.44433</v>
      </c>
      <c r="L3522" s="459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Pax XL maskownica dolna 3m 4mm bialy polysk</v>
      </c>
      <c r="C3523" s="185" t="e">
        <f t="shared" si="109"/>
        <v>#N/A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 t="e">
        <v>#N/A</v>
      </c>
      <c r="I3523" s="460" t="e">
        <v>#N/A</v>
      </c>
      <c r="J3523" s="460" t="e">
        <v>#N/A</v>
      </c>
      <c r="K3523" s="460" t="e">
        <v>#N/A</v>
      </c>
      <c r="L3523" s="459" t="e">
        <v>#N/A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Pax XL maskownica dolna 3m 4mm czarny mat</v>
      </c>
      <c r="C3524" s="185">
        <f t="shared" ref="C3524:C3587" si="111">IF($A$2=1,H3524,IF($A$2=2,I3524,IF($A$2=3,J3524,IF($A$2=4,K3524,IF($A$2&gt;4,O3524,"zadat jazyk")))))</f>
        <v>145.11539999999999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14552.850409999999</v>
      </c>
      <c r="L3524" s="459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listwa pozioma górna 1,7m czarny mat</v>
      </c>
      <c r="C3525" s="185">
        <f t="shared" si="111"/>
        <v>59.986199999999997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4036.3376800000001</v>
      </c>
      <c r="L3525" s="459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Fox II rączka 2,7m czarny mat</v>
      </c>
      <c r="C3526" s="185">
        <f t="shared" si="111"/>
        <v>80.416799999999995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8313.0529399999996</v>
      </c>
      <c r="L3526" s="459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rączka 2,7 m, czarna matowa</v>
      </c>
      <c r="C3527" s="185">
        <f t="shared" si="111"/>
        <v>60.088200000000001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6299.8920699999999</v>
      </c>
      <c r="L3527" s="459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listwa łącząca H30 3m czarny mat</v>
      </c>
      <c r="C3528" s="185">
        <f t="shared" si="111"/>
        <v>102.1734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11267.692220000001</v>
      </c>
      <c r="L3528" s="459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teownik 04 3m czarny mat</v>
      </c>
      <c r="C3529" s="185">
        <f t="shared" si="111"/>
        <v>16.289400000000001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1792.81519</v>
      </c>
      <c r="L3529" s="459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listwa pozioma górna 2,35m czarny mat</v>
      </c>
      <c r="C3530" s="185">
        <f t="shared" si="111"/>
        <v>82.936199999999999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5588.7752499999997</v>
      </c>
      <c r="L3530" s="459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listwa pozioma górna 3m czarny mat</v>
      </c>
      <c r="C3531" s="185">
        <f t="shared" si="111"/>
        <v>105.8454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7131.1972999999998</v>
      </c>
      <c r="L3531" s="459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Pax tor dolny 3m czarny mat</v>
      </c>
      <c r="C3532" s="185">
        <f t="shared" si="111"/>
        <v>112.2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11297.73933</v>
      </c>
      <c r="L3532" s="459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tor górny 6m czarny mat</v>
      </c>
      <c r="C3533" s="185">
        <f t="shared" si="111"/>
        <v>0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0</v>
      </c>
      <c r="K3533" s="460">
        <v>24999.252980000001</v>
      </c>
      <c r="L3533" s="459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tor dolny 6m czarny mat</v>
      </c>
      <c r="C3534" s="185">
        <f t="shared" si="111"/>
        <v>0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0</v>
      </c>
      <c r="K3534" s="460">
        <v>14592.91346</v>
      </c>
      <c r="L3534" s="459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zaślepka do toru Elegant II 1,7m czarny mat</v>
      </c>
      <c r="C3535" s="185">
        <f t="shared" si="111"/>
        <v>12.199199999999999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1282.0129099999999</v>
      </c>
      <c r="L3535" s="459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maskownica do toru Elegant II 6m czarny mat</v>
      </c>
      <c r="C3536" s="185">
        <f t="shared" si="111"/>
        <v>0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0</v>
      </c>
      <c r="K3536" s="460">
        <v>4527.1084300000002</v>
      </c>
      <c r="L3536" s="459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listwa łącząca H10 3m czarny mat</v>
      </c>
      <c r="C3537" s="185">
        <f t="shared" si="111"/>
        <v>67.289400000000001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6089.5615900000003</v>
      </c>
      <c r="L3537" s="459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Pax rączka 2,7 m, czarny mat</v>
      </c>
      <c r="C3538" s="185">
        <f t="shared" si="111"/>
        <v>102.67319999999999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10356.261270000001</v>
      </c>
      <c r="L3538" s="459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Pax rączka 3m, czarny mat</v>
      </c>
      <c r="C3539" s="185" t="e">
        <f t="shared" si="111"/>
        <v>#N/A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 t="e">
        <v>#N/A</v>
      </c>
      <c r="I3539" s="460" t="e">
        <v>#N/A</v>
      </c>
      <c r="J3539" s="460" t="e">
        <v>#N/A</v>
      </c>
      <c r="K3539" s="460" t="e">
        <v>#N/A</v>
      </c>
      <c r="L3539" s="459" t="e">
        <v>#N/A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rączka 18mm 2,70m jasny brąz new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Blue tor górny 6m jasny brąz new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tor dolny 6m jasny brąz new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tor górny Simple/Blue 3m (płyta laminatowa 18mm) jasny brąz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maskownica dolna Simple/Blue 3m (18mm) jasny brąz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/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0</v>
      </c>
      <c r="I3545" s="460">
        <v>0</v>
      </c>
      <c r="J3545" s="460">
        <v>0</v>
      </c>
      <c r="K3545" s="460">
        <v>0</v>
      </c>
      <c r="L3545" s="459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maskownica dolna Simple/Blue 2m (18mm) jasny brąz 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/>
      </c>
      <c r="C3547" s="185" t="e">
        <f t="shared" si="111"/>
        <v>#N/A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 t="e">
        <v>#N/A</v>
      </c>
      <c r="I3547" s="460" t="e">
        <v>#N/A</v>
      </c>
      <c r="J3547" s="460" t="e">
        <v>#N/A</v>
      </c>
      <c r="K3547" s="460" t="e">
        <v>#N/A</v>
      </c>
      <c r="L3547" s="459" t="e">
        <v>#N/A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/>
      </c>
      <c r="C3548" s="185" t="e">
        <f t="shared" si="111"/>
        <v>#N/A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 t="e">
        <v>#N/A</v>
      </c>
      <c r="I3548" s="460" t="e">
        <v>#N/A</v>
      </c>
      <c r="J3548" s="460" t="e">
        <v>#N/A</v>
      </c>
      <c r="K3548" s="460" t="e">
        <v>#N/A</v>
      </c>
      <c r="L3548" s="459" t="e">
        <v>#N/A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/>
      </c>
      <c r="C3549" s="185" t="e">
        <f t="shared" si="111"/>
        <v>#N/A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 t="e">
        <v>#N/A</v>
      </c>
      <c r="I3549" s="460" t="e">
        <v>#N/A</v>
      </c>
      <c r="J3549" s="460" t="e">
        <v>#N/A</v>
      </c>
      <c r="K3549" s="460" t="e">
        <v>#N/A</v>
      </c>
      <c r="L3549" s="459" t="e">
        <v>#N/A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/>
      </c>
      <c r="C3550" s="185" t="e">
        <f t="shared" si="111"/>
        <v>#N/A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 t="e">
        <v>#N/A</v>
      </c>
      <c r="I3550" s="460" t="e">
        <v>#N/A</v>
      </c>
      <c r="J3550" s="460" t="e">
        <v>#N/A</v>
      </c>
      <c r="K3550" s="460" t="e">
        <v>#N/A</v>
      </c>
      <c r="L3550" s="459" t="e">
        <v>#N/A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Harmony zestaw okuć dla 2 drzwi</v>
      </c>
      <c r="C3551" s="185" t="e">
        <f t="shared" si="111"/>
        <v>#N/A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 t="e">
        <v>#N/A</v>
      </c>
      <c r="I3551" s="460" t="e">
        <v>#N/A</v>
      </c>
      <c r="J3551" s="460" t="e">
        <v>#N/A</v>
      </c>
      <c r="K3551" s="460" t="e">
        <v>#N/A</v>
      </c>
      <c r="L3551" s="459" t="e">
        <v>#N/A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Fox II rączka 2,7 m, jasny brąz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Gemini tor górny 1,7m jasny brąz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Gemini tor górny 2,35m jasny brąz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Gemini tor górny 3m jasny brąz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Gemini tor górny 4,05m jasny brąz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kątownik Mini 17x11mm 1,7m jasny brąz new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00094-A kątownik Mini 17x11mm 2,35m jasny brąz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00703-A listwa łącząca "T" 3m jasny brąz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00029-A profil "U" do płyty laminowanej 18mm 3m jasny brąz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kątownik K2 Decor 2,35m jasny brąz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00071-A kątownik K2 Decor 3m jasny brąz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00212-A listwa łącząca H18 3m jasny brąz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04274-A Elegant II tor dolny 2,35m jasny brąz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04275-A Elegant II tor dolny 3m jasny brąz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04276-A Elegant II tor dolny 4,05m jasny brąz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Gemini tor górny 6m jasny brąz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Alfa II rączka 18mm 2,70m jasny brąz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 04297-A zaślepka do toru Elegant II 2,35m jasny brąz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04273-A Elegant II tor dolny 1,7m jasny brąz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04298-A zaślepka do toru Elegant II 3m jasny brąz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04299-A zaślepka do toru Elegant II 4,05m jasny brąz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04301-A zaślepka do toru Elegant II 6m jasny brąz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04492-M Blue-V tor dolny 3m jasny brąz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 04278-A Elegant II tor dolny 6m jasny brąz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rączka 100mm czarny mat</v>
      </c>
      <c r="C3576" s="185">
        <f t="shared" si="111"/>
        <v>1.54355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rączka 100 mm, biała matowa</v>
      </c>
      <c r="C3577" s="185">
        <f t="shared" si="111"/>
        <v>1.5232399999999999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8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rączka 100mm czarny połysk</v>
      </c>
      <c r="C3578" s="185">
        <f t="shared" si="111"/>
        <v>1.8174399999999999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/>
      </c>
      <c r="C3579" s="185">
        <f t="shared" si="111"/>
        <v>1.17014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/>
      </c>
      <c r="C3580" s="185">
        <f t="shared" si="111"/>
        <v>2.2383799999999998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/>
      </c>
      <c r="C3581" s="185" t="e">
        <f t="shared" si="111"/>
        <v>#N/A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 t="e">
        <v>#N/A</v>
      </c>
      <c r="I3581" s="460" t="e">
        <v>#N/A</v>
      </c>
      <c r="J3581" s="460" t="e">
        <v>#N/A</v>
      </c>
      <c r="K3581" s="460" t="e">
        <v>#N/A</v>
      </c>
      <c r="L3581" s="459" t="e">
        <v>#N/A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/>
      </c>
      <c r="C3582" s="185">
        <f t="shared" si="111"/>
        <v>337.33834999999999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11</v>
      </c>
      <c r="L3582" s="459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/>
      </c>
      <c r="C3583" s="185" t="e">
        <f t="shared" si="111"/>
        <v>#N/A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 t="e">
        <v>#N/A</v>
      </c>
      <c r="I3583" s="460" t="e">
        <v>#N/A</v>
      </c>
      <c r="J3583" s="460" t="e">
        <v>#N/A</v>
      </c>
      <c r="K3583" s="460" t="e">
        <v>#N/A</v>
      </c>
      <c r="L3583" s="459" t="e">
        <v>#N/A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/>
      </c>
      <c r="C3584" s="185" t="e">
        <f t="shared" si="111"/>
        <v>#N/A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 t="e">
        <v>#N/A</v>
      </c>
      <c r="I3584" s="460" t="e">
        <v>#N/A</v>
      </c>
      <c r="J3584" s="460" t="e">
        <v>#N/A</v>
      </c>
      <c r="K3584" s="460" t="e">
        <v>#N/A</v>
      </c>
      <c r="L3584" s="459" t="e">
        <v>#N/A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kątownik Mini 17x11mm 3m jasny brąz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zaślepka do toru Elegant II 1,7m jasny brąz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kątownik Mini 17x11mm 4,05m srebrny</v>
      </c>
      <c r="C3587" s="185" t="e">
        <f t="shared" si="111"/>
        <v>#N/A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 t="e">
        <v>#N/A</v>
      </c>
      <c r="I3587" s="460" t="e">
        <v>#N/A</v>
      </c>
      <c r="J3587" s="460" t="e">
        <v>#N/A</v>
      </c>
      <c r="K3587" s="460" t="e">
        <v>#N/A</v>
      </c>
      <c r="L3587" s="459" t="e">
        <v>#N/A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/>
      </c>
      <c r="C3589" s="185">
        <f t="shared" si="113"/>
        <v>1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11</v>
      </c>
      <c r="L3589" s="459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tor dolny 1,8m jasny brąz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zaślepka do toru 1,8m jasny brąz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rączka 100mm jasny brąz new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/>
      </c>
      <c r="C3593" s="185" t="e">
        <f t="shared" si="113"/>
        <v>#N/A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 t="e">
        <v>#N/A</v>
      </c>
      <c r="I3593" s="460" t="e">
        <v>#N/A</v>
      </c>
      <c r="J3593" s="460" t="e">
        <v>#N/A</v>
      </c>
      <c r="K3593" s="460" t="e">
        <v>#N/A</v>
      </c>
      <c r="L3593" s="459" t="e">
        <v>#N/A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/>
      </c>
      <c r="C3594" s="185" t="e">
        <f t="shared" si="113"/>
        <v>#N/A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 t="e">
        <v>#N/A</v>
      </c>
      <c r="I3594" s="460" t="e">
        <v>#N/A</v>
      </c>
      <c r="J3594" s="460" t="e">
        <v>#N/A</v>
      </c>
      <c r="K3594" s="460" t="e">
        <v>#N/A</v>
      </c>
      <c r="L3594" s="459" t="e">
        <v>#N/A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/>
      </c>
      <c r="C3595" s="185" t="e">
        <f t="shared" si="113"/>
        <v>#N/A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 t="e">
        <v>#N/A</v>
      </c>
      <c r="I3595" s="460" t="e">
        <v>#N/A</v>
      </c>
      <c r="J3595" s="460" t="e">
        <v>#N/A</v>
      </c>
      <c r="K3595" s="460" t="e">
        <v>#N/A</v>
      </c>
      <c r="L3595" s="459" t="e">
        <v>#N/A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/>
      </c>
      <c r="C3596" s="185" t="e">
        <f t="shared" si="113"/>
        <v>#N/A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 t="e">
        <v>#N/A</v>
      </c>
      <c r="I3596" s="460" t="e">
        <v>#N/A</v>
      </c>
      <c r="J3596" s="460" t="e">
        <v>#N/A</v>
      </c>
      <c r="K3596" s="460" t="e">
        <v>#N/A</v>
      </c>
      <c r="L3596" s="459" t="e">
        <v>#N/A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folia ochronna 500mm/400m</v>
      </c>
      <c r="C3597" s="185" t="e">
        <f t="shared" si="113"/>
        <v>#N/A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 t="e">
        <v>#N/A</v>
      </c>
      <c r="I3597" s="460" t="e">
        <v>#N/A</v>
      </c>
      <c r="J3597" s="460" t="e">
        <v>#N/A</v>
      </c>
      <c r="K3597" s="460" t="e">
        <v>#N/A</v>
      </c>
      <c r="L3597" s="459" t="e">
        <v>#N/A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/>
      </c>
      <c r="C3598" s="185" t="e">
        <f t="shared" si="113"/>
        <v>#N/A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 t="e">
        <v>#N/A</v>
      </c>
      <c r="I3598" s="460" t="e">
        <v>#N/A</v>
      </c>
      <c r="J3598" s="460" t="e">
        <v>#N/A</v>
      </c>
      <c r="K3598" s="460" t="e">
        <v>#N/A</v>
      </c>
      <c r="L3598" s="459" t="e">
        <v>#N/A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/>
      </c>
      <c r="C3599" s="185" t="e">
        <f t="shared" si="113"/>
        <v>#N/A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 t="e">
        <v>#N/A</v>
      </c>
      <c r="I3599" s="460" t="e">
        <v>#N/A</v>
      </c>
      <c r="J3599" s="460" t="e">
        <v>#N/A</v>
      </c>
      <c r="K3599" s="460" t="e">
        <v>#N/A</v>
      </c>
      <c r="L3599" s="459" t="e">
        <v>#N/A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dolna maskownica Simple/Blue 2m (do lamina18mm), czarny mat</v>
      </c>
      <c r="C3600" s="185">
        <f t="shared" si="113"/>
        <v>85.189250000000001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6775.10851</v>
      </c>
      <c r="L3600" s="459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maskownica dolna Simple/Blue 3m (do płyty 18mm) czarny mat</v>
      </c>
      <c r="C3601" s="185">
        <f t="shared" si="113"/>
        <v>127.83893999999999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10152.490110000001</v>
      </c>
      <c r="L3601" s="459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górna listwa prowadząca Simple/Blue 2m (do lam. 18mm) czarny mat</v>
      </c>
      <c r="C3602" s="185">
        <f t="shared" si="113"/>
        <v>44.207169999999998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3458.7641899999999</v>
      </c>
      <c r="L3602" s="459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tor dolny Simple/Blue 3m (do płyty 18mm) czarny mat</v>
      </c>
      <c r="C3603" s="185">
        <f t="shared" si="113"/>
        <v>66.326480000000004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5188.1462799999999</v>
      </c>
      <c r="L3603" s="459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listwa łącząca Simple/Blue H21 3m (do płyty 18mm) czarny mat</v>
      </c>
      <c r="C3604" s="185">
        <f t="shared" si="113"/>
        <v>61.339410000000001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5808.6891100000003</v>
      </c>
      <c r="L3604" s="459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Rączka Era 18 mm 2,70 m czarny mat</v>
      </c>
      <c r="C3605" s="185">
        <f t="shared" si="113"/>
        <v>55.817450000000001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6215.6025399999999</v>
      </c>
      <c r="L3605" s="459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rączka 18mm 2,70m czarny mat</v>
      </c>
      <c r="C3606" s="185">
        <f t="shared" si="113"/>
        <v>66.609660000000005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6337.6766500000003</v>
      </c>
      <c r="L3606" s="459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tor dolny 2m  czarny mat</v>
      </c>
      <c r="C3607" s="185">
        <f t="shared" si="113"/>
        <v>44.993769999999998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4099.6527800000003</v>
      </c>
      <c r="L3607" s="459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tor dolny 3m czarny mat</v>
      </c>
      <c r="C3608" s="185">
        <f t="shared" si="113"/>
        <v>67.490650000000002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6154.5656900000004</v>
      </c>
      <c r="L3608" s="459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tor dolny 6m czarny mat</v>
      </c>
      <c r="C3609" s="185">
        <f t="shared" si="113"/>
        <v>0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0</v>
      </c>
      <c r="K3609" s="460">
        <v>12298.958689999999</v>
      </c>
      <c r="L3609" s="459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tor gótny 2m czarny mat</v>
      </c>
      <c r="C3610" s="185">
        <f t="shared" si="113"/>
        <v>66.342209999999994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7670.3183900000004</v>
      </c>
      <c r="L3610" s="459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tor górny 3m czarny mat</v>
      </c>
      <c r="C3611" s="185">
        <f t="shared" si="113"/>
        <v>99.55265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11505.47718</v>
      </c>
      <c r="L3611" s="459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tor górny 6m czarny mat</v>
      </c>
      <c r="C3612" s="185">
        <f t="shared" si="113"/>
        <v>0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0</v>
      </c>
      <c r="K3612" s="460">
        <v>23010.95477</v>
      </c>
      <c r="L3612" s="459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</v>
      </c>
      <c r="C3613" s="185">
        <f t="shared" si="113"/>
        <v>1866.1271999999999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210074.95204999999</v>
      </c>
      <c r="L3613" s="459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</v>
      </c>
      <c r="C3614" s="185">
        <f t="shared" si="113"/>
        <v>1961.3184000000001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220787.85143000001</v>
      </c>
      <c r="L3614" s="459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/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/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/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/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rączka 2,7m srebrny</v>
      </c>
      <c r="C3619" s="185">
        <f t="shared" si="113"/>
        <v>78.988799999999998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8252.9587200000005</v>
      </c>
      <c r="L3619" s="459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rączka 3m srebrny</v>
      </c>
      <c r="C3620" s="185">
        <f t="shared" si="113"/>
        <v>87.771000000000001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9164.3896700000005</v>
      </c>
      <c r="L3620" s="459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rączka 2,7m j.brąz</v>
      </c>
      <c r="C3621" s="185">
        <f t="shared" si="113"/>
        <v>102.37097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11457.991169999999</v>
      </c>
      <c r="L3621" s="459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rączka 2,7m j.brąz</v>
      </c>
      <c r="C3622" s="185">
        <f t="shared" si="113"/>
        <v>92.169669999999996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10316.19822</v>
      </c>
      <c r="L3622" s="459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rączka 2,7m srebrny</v>
      </c>
      <c r="C3623" s="185">
        <f t="shared" si="113"/>
        <v>78.988799999999998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8713.6819799999994</v>
      </c>
      <c r="L3623" s="459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rączka 2,7 m j.brąz</v>
      </c>
      <c r="C3624" s="185">
        <f t="shared" si="113"/>
        <v>97.359819999999999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10897.11025</v>
      </c>
      <c r="L3624" s="459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rączka 2,7m srebrny</v>
      </c>
      <c r="C3625" s="185">
        <f t="shared" si="113"/>
        <v>78.988799999999998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8713.6819799999994</v>
      </c>
      <c r="L3625" s="459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rączka 2,7m j.brąz</v>
      </c>
      <c r="C3626" s="185">
        <f t="shared" si="113"/>
        <v>97.359819999999999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10897.11025</v>
      </c>
      <c r="L3626" s="459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rączka 2,7m czarny mat</v>
      </c>
      <c r="C3627" s="185">
        <f t="shared" si="113"/>
        <v>102.68340000000001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11297.73933</v>
      </c>
      <c r="L3627" s="459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rączka 2,7m</v>
      </c>
      <c r="C3628" s="185">
        <f t="shared" si="113"/>
        <v>51.7956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4156.5264699999998</v>
      </c>
      <c r="L3628" s="459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rączka 2,7m biały mat</v>
      </c>
      <c r="C3629" s="185">
        <f t="shared" si="113"/>
        <v>80.416799999999995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8313.0529399999996</v>
      </c>
      <c r="L3629" s="459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rączka 2,7m czarny mat</v>
      </c>
      <c r="C3630" s="185">
        <f t="shared" si="113"/>
        <v>116.8716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11728.41548</v>
      </c>
      <c r="L3630" s="459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rączka 2,7m czarny mat</v>
      </c>
      <c r="C3631" s="185">
        <f t="shared" si="113"/>
        <v>129.8562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13050.49144</v>
      </c>
      <c r="L3631" s="459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rączka 2,7m srebrna</v>
      </c>
      <c r="C3632" s="185">
        <f t="shared" si="113"/>
        <v>99.888599999999997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10035.75794</v>
      </c>
      <c r="L3632" s="459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profil ramowy 2,7 m j.brąz</v>
      </c>
      <c r="C3633" s="185">
        <f t="shared" si="113"/>
        <v>36.509929999999997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4086.4163100000001</v>
      </c>
      <c r="L3633" s="459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profil ramkowy 2,7 m j.brąz</v>
      </c>
      <c r="C3634" s="185">
        <f t="shared" si="113"/>
        <v>32.035670000000003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3585.62997</v>
      </c>
      <c r="L3634" s="459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profil ramkowy 2,7m czarny mat</v>
      </c>
      <c r="C3635" s="185">
        <f t="shared" si="113"/>
        <v>35.026800000000001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3866.0702500000002</v>
      </c>
      <c r="L3635" s="459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Rączka Vitara 2,7m czarny mat</v>
      </c>
      <c r="C3636" s="185">
        <f t="shared" si="113"/>
        <v>74.143799999999999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7271.4172099999996</v>
      </c>
      <c r="L3636" s="459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rączka 2,7m złoty</v>
      </c>
      <c r="C3637" s="185">
        <f t="shared" si="113"/>
        <v>99.97551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10506.497170000001</v>
      </c>
      <c r="L3637" s="459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rączka 3m srebrna</v>
      </c>
      <c r="C3638" s="185">
        <f t="shared" si="113"/>
        <v>107.99908000000001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10576.60692</v>
      </c>
      <c r="L3638" s="459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rączka 2,70 m oliwka</v>
      </c>
      <c r="C3639" s="185">
        <f t="shared" si="113"/>
        <v>32.986800000000002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3685.7872400000001</v>
      </c>
      <c r="L3639" s="459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Pax XL rączka 3m biały polysk</v>
      </c>
      <c r="C3640" s="185">
        <f t="shared" si="113"/>
        <v>129.8562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13050.49144</v>
      </c>
      <c r="L3640" s="459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Lux III rączka 3m jasny brąz</v>
      </c>
      <c r="C3641" s="185">
        <f t="shared" si="113"/>
        <v>111.12626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11678.33685</v>
      </c>
      <c r="L3641" s="459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rączka 3m złoty</v>
      </c>
      <c r="C3642" s="185">
        <f t="shared" si="113"/>
        <v>111.12626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11678.33685</v>
      </c>
      <c r="L3642" s="459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Szpros S10 3m czarny mat</v>
      </c>
      <c r="C3643" s="185">
        <f t="shared" si="113"/>
        <v>15.606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1702.6734799999999</v>
      </c>
      <c r="L3643" s="459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Universal 18 rączka 2,7 m, jasny brąz</v>
      </c>
      <c r="C3644" s="185">
        <f t="shared" si="113"/>
        <v>72.303970000000007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8092.7068799999997</v>
      </c>
      <c r="L3644" s="459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profil "U" do płyty laminowanej 18mm 3m grafit</v>
      </c>
      <c r="C3645" s="185">
        <f t="shared" si="113"/>
        <v>27.009599999999999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2383.7428100000002</v>
      </c>
      <c r="L3645" s="459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kątownik Mini 17x11 mm 1,7 m grafit</v>
      </c>
      <c r="C3646" s="185">
        <f t="shared" si="113"/>
        <v>12.2094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1221.9187199999999</v>
      </c>
      <c r="L3646" s="459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kątownik Mini 17x11 mm 2,35m grafit</v>
      </c>
      <c r="C3647" s="185">
        <f t="shared" si="113"/>
        <v>16.901399999999999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1692.6579200000001</v>
      </c>
      <c r="L3647" s="459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kątownik Mini 17x11 mm 3 m grafit</v>
      </c>
      <c r="C3648" s="185">
        <f t="shared" si="113"/>
        <v>21.583200000000001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2163.3967400000001</v>
      </c>
      <c r="L3648" s="459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listwa pozioma dolna 1,7m 10mm grafit</v>
      </c>
      <c r="C3649" s="185">
        <f t="shared" si="113"/>
        <v>70.369799999999998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7331.51181</v>
      </c>
      <c r="L3649" s="459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listwa pozioma dolna 2,35m 10mm grafit</v>
      </c>
      <c r="C3650" s="185">
        <f t="shared" si="113"/>
        <v>97.287599999999998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10125.899240000001</v>
      </c>
      <c r="L3650" s="459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listaw pozioma dolna 3m 10mm grafit</v>
      </c>
      <c r="C3651" s="185">
        <f t="shared" si="113"/>
        <v>124.22580000000001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12960.35014</v>
      </c>
      <c r="L3651" s="459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listwa pozioma górna 1,7m grafit</v>
      </c>
      <c r="C3652" s="185">
        <f t="shared" ref="C3652:C3715" si="115">IF($A$2=1,H3652,IF($A$2=2,I3652,IF($A$2=3,J3652,IF($A$2=4,K3652,IF($A$2&gt;4,O3652,"zadat jazyk")))))</f>
        <v>59.986199999999997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4036.3376800000001</v>
      </c>
      <c r="L3652" s="459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listwa pozioma górna 2,35m grafit</v>
      </c>
      <c r="C3653" s="185">
        <f t="shared" si="115"/>
        <v>82.936199999999999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5588.7752499999997</v>
      </c>
      <c r="L3653" s="459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listwa pozioma górna 3m grafit</v>
      </c>
      <c r="C3654" s="185">
        <f t="shared" si="115"/>
        <v>105.8454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7131.1972999999998</v>
      </c>
      <c r="L3654" s="459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listwa łącząca H10 3m grafit</v>
      </c>
      <c r="C3655" s="185">
        <f t="shared" si="115"/>
        <v>67.289400000000001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6089.5615900000003</v>
      </c>
      <c r="L3655" s="459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listwa łącząca H18 3m grafit</v>
      </c>
      <c r="C3656" s="185">
        <f t="shared" si="115"/>
        <v>62.464799999999997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5999.42029</v>
      </c>
      <c r="L3656" s="459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rączka 18mm 2,7m grafit</v>
      </c>
      <c r="C3657" s="185">
        <f t="shared" si="115"/>
        <v>66.463200000000001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6329.9391800000003</v>
      </c>
      <c r="L3657" s="459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rączka 2,7m grafit</v>
      </c>
      <c r="C3658" s="185">
        <f t="shared" si="115"/>
        <v>80.416799999999995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8313.0529399999996</v>
      </c>
      <c r="L3658" s="459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tor dolny 1,7 m grafit</v>
      </c>
      <c r="C3659" s="185">
        <f t="shared" si="115"/>
        <v>40.698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4176.5579900000002</v>
      </c>
      <c r="L3659" s="459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tor dolny 2,35 m grafit</v>
      </c>
      <c r="C3660" s="185">
        <f t="shared" si="115"/>
        <v>56.242800000000003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5739.01116</v>
      </c>
      <c r="L3660" s="459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tor dolny 3 m grafit</v>
      </c>
      <c r="C3661" s="185">
        <f t="shared" si="115"/>
        <v>71.808000000000007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7291.4487600000002</v>
      </c>
      <c r="L3661" s="459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tor dolny 4,05 m grafit</v>
      </c>
      <c r="C3662" s="185">
        <f t="shared" si="115"/>
        <v>96.930599999999998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9875.5060699999995</v>
      </c>
      <c r="L3662" s="459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tor dolny 6m grafit</v>
      </c>
      <c r="C3663" s="185">
        <f t="shared" si="115"/>
        <v>0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0</v>
      </c>
      <c r="K3663" s="460">
        <v>14592.91346</v>
      </c>
      <c r="L3663" s="459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tor górny 1,7 m grafit</v>
      </c>
      <c r="C3664" s="185">
        <f t="shared" si="115"/>
        <v>74.653800000000004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7081.1186600000001</v>
      </c>
      <c r="L3664" s="459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tor górny 2,35 m grafit</v>
      </c>
      <c r="C3665" s="185">
        <f t="shared" si="115"/>
        <v>103.20359999999999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9795.3803599999992</v>
      </c>
      <c r="L3665" s="459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tor górny 3 m grafit</v>
      </c>
      <c r="C3666" s="185">
        <f t="shared" si="115"/>
        <v>131.79419999999999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12499.626490000001</v>
      </c>
      <c r="L3666" s="459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tor górny 4,05 m grafit</v>
      </c>
      <c r="C3667" s="185">
        <f t="shared" si="115"/>
        <v>177.9186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16876.499019999999</v>
      </c>
      <c r="L3667" s="459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tor górny 6m grafit</v>
      </c>
      <c r="C3668" s="185">
        <f t="shared" si="115"/>
        <v>0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0</v>
      </c>
      <c r="K3668" s="460">
        <v>24999.252980000001</v>
      </c>
      <c r="L3668" s="459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zaślepka do toru Elegant II 1,7m grafit</v>
      </c>
      <c r="C3669" s="185">
        <f t="shared" si="115"/>
        <v>12.199199999999999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1282.0129099999999</v>
      </c>
      <c r="L3669" s="459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zaślepka do toru Elegant II 2,35m grafit</v>
      </c>
      <c r="C3670" s="185">
        <f t="shared" si="115"/>
        <v>16.870799999999999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1772.7836600000001</v>
      </c>
      <c r="L3670" s="459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maskownica do toru Elegant II 3m grafit</v>
      </c>
      <c r="C3671" s="185">
        <f t="shared" si="115"/>
        <v>21.542400000000001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2263.5540099999998</v>
      </c>
      <c r="L3671" s="459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zaślepka do toru Elegant II 4,05m grafit</v>
      </c>
      <c r="C3672" s="185">
        <f t="shared" si="115"/>
        <v>29.07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3054.79655</v>
      </c>
      <c r="L3672" s="459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maskownica do toru Elegant II 6m grafit</v>
      </c>
      <c r="C3673" s="185">
        <f t="shared" si="115"/>
        <v>0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0</v>
      </c>
      <c r="K3673" s="460">
        <v>4527.1084300000002</v>
      </c>
      <c r="L3673" s="459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rączka 2,7m j.brąz</v>
      </c>
      <c r="C3674" s="185">
        <f t="shared" si="115"/>
        <v>92.169669999999996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10316.19822</v>
      </c>
      <c r="L3674" s="459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rączka 2,7m j.brąz</v>
      </c>
      <c r="C3675" s="185">
        <f t="shared" si="115"/>
        <v>102.37097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11457.991169999999</v>
      </c>
      <c r="L3675" s="459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rączka 2,7m srebrny</v>
      </c>
      <c r="C3676" s="185">
        <f t="shared" si="115"/>
        <v>78.988799999999998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8252.9587200000005</v>
      </c>
      <c r="L3676" s="459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rączka 3m srebrny</v>
      </c>
      <c r="C3677" s="185">
        <f t="shared" si="115"/>
        <v>87.771000000000001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9164.3896700000005</v>
      </c>
      <c r="L3677" s="459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rączka 2,7 m j.brąz</v>
      </c>
      <c r="C3678" s="185">
        <f t="shared" si="115"/>
        <v>97.359819999999999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10897.11025</v>
      </c>
      <c r="L3678" s="459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rączka 2,7m srebrny</v>
      </c>
      <c r="C3679" s="185">
        <f t="shared" si="115"/>
        <v>78.988799999999998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8713.6819799999994</v>
      </c>
      <c r="L3679" s="459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rączka 2,7m j.brąz</v>
      </c>
      <c r="C3680" s="185">
        <f t="shared" si="115"/>
        <v>97.359819999999999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10897.11025</v>
      </c>
      <c r="L3680" s="459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rączka 2,7m czarny mat</v>
      </c>
      <c r="C3681" s="185">
        <f t="shared" si="115"/>
        <v>102.68340000000001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11297.73933</v>
      </c>
      <c r="L3681" s="459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rączka 2,7m srebrny</v>
      </c>
      <c r="C3682" s="185">
        <f t="shared" si="115"/>
        <v>78.988799999999998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8713.6819799999994</v>
      </c>
      <c r="L3682" s="459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listwa pozioma dolna 1,7m 18mm srebrny</v>
      </c>
      <c r="C3683" s="185">
        <f t="shared" si="115"/>
        <v>87.963880000000003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9845.4589899999992</v>
      </c>
      <c r="L3683" s="459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listwa pozioma dolna 2,35m, j.brąz</v>
      </c>
      <c r="C3684" s="185">
        <f t="shared" si="115"/>
        <v>121.52079000000001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13601.356390000001</v>
      </c>
      <c r="L3684" s="459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listwa pozioma dolna 3m 18mm, jasny brąz</v>
      </c>
      <c r="C3685" s="185">
        <f t="shared" si="115"/>
        <v>155.16721000000001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17367.269779999999</v>
      </c>
      <c r="L3685" s="459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listwa pozioma dolna 1,7m 18mm czarny mat</v>
      </c>
      <c r="C3686" s="185">
        <f t="shared" si="115"/>
        <v>94.496290000000002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10576.60692</v>
      </c>
      <c r="L3686" s="459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listwa pozioma dolna 2,35m, czarny mat</v>
      </c>
      <c r="C3687" s="185">
        <f t="shared" si="115"/>
        <v>130.55878999999999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14612.945009999999</v>
      </c>
      <c r="L3687" s="459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listwa pozioma dolna 3m 18mm, czarny mat</v>
      </c>
      <c r="C3688" s="185">
        <f t="shared" si="115"/>
        <v>166.71079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18659.29824</v>
      </c>
      <c r="L3688" s="459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maskownica dolna 1,7 m, 18 mm, srebrna</v>
      </c>
      <c r="C3689" s="185">
        <f t="shared" si="115"/>
        <v>72.661929999999998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8132.7699300000004</v>
      </c>
      <c r="L3689" s="459" t="s">
        <v>539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maskownica dolna 2,35 m, 18mm srebrna</v>
      </c>
      <c r="C3690" s="185">
        <f t="shared" si="115"/>
        <v>100.40231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11237.645109999999</v>
      </c>
      <c r="L3690" s="459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maskownica dolna 3 m, 18mm  srebrna</v>
      </c>
      <c r="C3691" s="185">
        <f t="shared" si="115"/>
        <v>128.23218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14352.53587</v>
      </c>
      <c r="L3691" s="459" t="s">
        <v>539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listwa pozioma górna 1,7m j.brąz</v>
      </c>
      <c r="C3692" s="185">
        <f t="shared" si="115"/>
        <v>60.760399999999997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6800.67839</v>
      </c>
      <c r="L3692" s="459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tor 2,35m, j.brąz</v>
      </c>
      <c r="C3693" s="185">
        <f t="shared" si="115"/>
        <v>83.847549999999998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9384.7357300000003</v>
      </c>
      <c r="L3693" s="459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listwa pozioma górna 3m, jasny brąz</v>
      </c>
      <c r="C3694" s="185">
        <f t="shared" si="115"/>
        <v>107.11369999999999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11988.82459</v>
      </c>
      <c r="L3694" s="459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listwa pozioma górna 1,7m czarny mat</v>
      </c>
      <c r="C3695" s="185">
        <f t="shared" si="115"/>
        <v>62.791200000000003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6910.85124</v>
      </c>
      <c r="L3695" s="459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listwa pozioma górna 2,35m, czarny mat</v>
      </c>
      <c r="C3696" s="185">
        <f t="shared" si="115"/>
        <v>86.802000000000007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9555.0031500000005</v>
      </c>
      <c r="L3696" s="459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listwa pozioma górna 3m czarny mat</v>
      </c>
      <c r="C3697" s="185">
        <f t="shared" si="115"/>
        <v>110.8026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12199.154689999999</v>
      </c>
      <c r="L3697" s="459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tor 1,7 m srebrny</v>
      </c>
      <c r="C3698" s="185">
        <f t="shared" si="115"/>
        <v>50.201149999999998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5618.8223600000001</v>
      </c>
      <c r="L3698" s="459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tor 2,35 m, srebrny</v>
      </c>
      <c r="C3699" s="185">
        <f t="shared" si="115"/>
        <v>69.261480000000006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7752.1724100000001</v>
      </c>
      <c r="L3699" s="459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Maxim tor 3 m, srebrny</v>
      </c>
      <c r="C3700" s="185">
        <f t="shared" si="115"/>
        <v>88.411289999999994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9895.5376199999992</v>
      </c>
      <c r="L3700" s="459" t="s">
        <v>539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listwa łącząca H18 3m jasny brąz</v>
      </c>
      <c r="C3701" s="185">
        <f t="shared" si="115"/>
        <v>55.253399999999999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5839.16842</v>
      </c>
      <c r="L3701" s="459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listwa łącząca H18 3m czarny mat</v>
      </c>
      <c r="C3702" s="185">
        <f t="shared" si="115"/>
        <v>62.454599999999999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6760.6153400000003</v>
      </c>
      <c r="L3702" s="459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listwa łącząca H18 3m, srebrna</v>
      </c>
      <c r="C3703" s="185">
        <f t="shared" si="115"/>
        <v>48.042000000000002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4857.6273199999996</v>
      </c>
      <c r="L3703" s="459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listwa łącząca H25 3m jasny brąz</v>
      </c>
      <c r="C3704" s="185">
        <f t="shared" si="115"/>
        <v>97.628270000000001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10927.157359999999</v>
      </c>
      <c r="L3704" s="459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listwa łącząca H25 3m czarny mat</v>
      </c>
      <c r="C3705" s="185">
        <f t="shared" si="115"/>
        <v>101.0412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11107.440759999999</v>
      </c>
      <c r="L3705" s="459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listwa łącząca H25 3m, srebrna</v>
      </c>
      <c r="C3706" s="185">
        <f t="shared" si="115"/>
        <v>80.626099999999994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9024.1693500000001</v>
      </c>
      <c r="L3706" s="459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wózek górny 18mm - 2 szt.</v>
      </c>
      <c r="C3707" s="185">
        <f t="shared" si="115"/>
        <v>16.1568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1896.5072500000001</v>
      </c>
      <c r="L3707" s="459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wózek górny 18mm - 2 szt.</v>
      </c>
      <c r="C3708" s="185">
        <f t="shared" si="115"/>
        <v>16.1568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1896.5072500000001</v>
      </c>
      <c r="L3708" s="459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05689 GM 18 wózek górny 18mm - 2 szt.</v>
      </c>
      <c r="C3709" s="185">
        <f t="shared" si="115"/>
        <v>23.174399999999999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2265.5571500000001</v>
      </c>
      <c r="L3709" s="459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wzornik rączek 2023</v>
      </c>
      <c r="C3710" s="185">
        <f t="shared" si="115"/>
        <v>107.15752000000001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599</v>
      </c>
      <c r="I3710" s="460">
        <v>25.640499999999999</v>
      </c>
      <c r="J3710" s="460">
        <v>107.15752000000001</v>
      </c>
      <c r="K3710" s="460">
        <v>9660.4210899999998</v>
      </c>
      <c r="L3710" s="459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listwa pozioma górna 1,7m biały mat</v>
      </c>
      <c r="C3711" s="185">
        <f t="shared" si="115"/>
        <v>59.986199999999997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4036.3376800000001</v>
      </c>
      <c r="L3711" s="459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listwa pozioma górna 2,35m biały mat</v>
      </c>
      <c r="C3712" s="185">
        <f t="shared" si="115"/>
        <v>82.936199999999999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5588.7752499999997</v>
      </c>
      <c r="L3712" s="459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listwa pozioma górna 3m biały mat</v>
      </c>
      <c r="C3713" s="185">
        <f t="shared" si="115"/>
        <v>105.8454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7131.1972999999998</v>
      </c>
      <c r="L3713" s="459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dolna maskownica 1,7 m 10 mm, biały mat</v>
      </c>
      <c r="C3714" s="185">
        <f t="shared" si="115"/>
        <v>70.369799999999998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7331.51181</v>
      </c>
      <c r="L3714" s="459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dolna maskownica 2,35 m 10 mm, biały mat</v>
      </c>
      <c r="C3715" s="185">
        <f t="shared" si="115"/>
        <v>97.287599999999998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10125.899240000001</v>
      </c>
      <c r="L3715" s="459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listwa pozioma dolna 3 m 10 mm, biały mat</v>
      </c>
      <c r="C3716" s="185">
        <f t="shared" ref="C3716:C3779" si="117">IF($A$2=1,H3716,IF($A$2=2,I3716,IF($A$2=3,J3716,IF($A$2=4,K3716,IF($A$2&gt;4,O3716,"zadat jazyk")))))</f>
        <v>124.22580000000001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12960.35014</v>
      </c>
      <c r="L3716" s="459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listwa łącząca H10 3m biały mat</v>
      </c>
      <c r="C3717" s="185">
        <f t="shared" si="117"/>
        <v>67.289400000000001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6089.5615900000003</v>
      </c>
      <c r="L3717" s="459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rączka 2,7m czarny lakier strukturalny</v>
      </c>
      <c r="C3718" s="185">
        <f t="shared" si="117"/>
        <v>74.272649999999999</v>
      </c>
      <c r="D3718" s="407" t="s">
        <v>6587</v>
      </c>
      <c r="E3718" t="s">
        <v>6616</v>
      </c>
      <c r="F3718" t="s">
        <v>6617</v>
      </c>
      <c r="G3718" t="s">
        <v>6618</v>
      </c>
      <c r="H3718" s="460">
        <v>600.71082000000001</v>
      </c>
      <c r="I3718" s="460">
        <v>21.598759999999999</v>
      </c>
      <c r="J3718" s="460">
        <v>74.272649999999999</v>
      </c>
      <c r="K3718" s="460">
        <v>8313.0529399999996</v>
      </c>
      <c r="L3718" s="459" t="s">
        <v>539</v>
      </c>
      <c r="O3718">
        <v>20.05114</v>
      </c>
      <c r="P3718" t="s">
        <v>10428</v>
      </c>
    </row>
    <row r="3719" spans="1:16" ht="14.4" x14ac:dyDescent="0.3">
      <c r="A3719">
        <v>526476</v>
      </c>
      <c r="B3719" t="str">
        <f t="shared" si="116"/>
        <v>SEVROLL 06439 listwa pozioma dolna 1,7m 10mm czarny lakier strukturalny</v>
      </c>
      <c r="C3719" s="185">
        <f t="shared" si="117"/>
        <v>65.503110000000007</v>
      </c>
      <c r="D3719" t="s">
        <v>6588</v>
      </c>
      <c r="E3719" t="s">
        <v>6619</v>
      </c>
      <c r="F3719" t="s">
        <v>6620</v>
      </c>
      <c r="G3719" t="s">
        <v>6621</v>
      </c>
      <c r="H3719" s="460">
        <v>529.78351999999995</v>
      </c>
      <c r="I3719" s="460">
        <v>19.048539999999999</v>
      </c>
      <c r="J3719" s="460">
        <v>65.503110000000007</v>
      </c>
      <c r="K3719" s="460">
        <v>7331.51181</v>
      </c>
      <c r="L3719" s="459" t="s">
        <v>539</v>
      </c>
      <c r="O3719">
        <v>17.68366</v>
      </c>
      <c r="P3719" t="s">
        <v>10429</v>
      </c>
    </row>
    <row r="3720" spans="1:16" ht="14.4" x14ac:dyDescent="0.3">
      <c r="A3720">
        <v>526477</v>
      </c>
      <c r="B3720" t="str">
        <f t="shared" si="116"/>
        <v>SEVROLL 06440 listwa pozioma dolna 2,35m 10mm czarny lakier strukturalny</v>
      </c>
      <c r="C3720" s="185">
        <f t="shared" si="117"/>
        <v>90.469449999999995</v>
      </c>
      <c r="D3720" t="s">
        <v>6589</v>
      </c>
      <c r="E3720" t="s">
        <v>6622</v>
      </c>
      <c r="F3720" t="s">
        <v>6623</v>
      </c>
      <c r="G3720" t="s">
        <v>6624</v>
      </c>
      <c r="H3720" s="460">
        <v>731.70920999999998</v>
      </c>
      <c r="I3720" s="460">
        <v>26.30885</v>
      </c>
      <c r="J3720" s="460">
        <v>90.469449999999995</v>
      </c>
      <c r="K3720" s="460">
        <v>10125.899240000001</v>
      </c>
      <c r="L3720" s="459" t="s">
        <v>539</v>
      </c>
      <c r="O3720">
        <v>24.423739999999999</v>
      </c>
      <c r="P3720" t="s">
        <v>10430</v>
      </c>
    </row>
    <row r="3721" spans="1:16" ht="14.4" x14ac:dyDescent="0.3">
      <c r="A3721">
        <v>526478</v>
      </c>
      <c r="B3721" t="str">
        <f t="shared" si="116"/>
        <v>SEVROLL 06123 listaw pozioma dolna 3m 10mm czarny lakier strukturalny</v>
      </c>
      <c r="C3721" s="185">
        <f t="shared" si="117"/>
        <v>115.79375</v>
      </c>
      <c r="D3721" t="s">
        <v>6590</v>
      </c>
      <c r="E3721" t="s">
        <v>6625</v>
      </c>
      <c r="F3721" t="s">
        <v>6626</v>
      </c>
      <c r="G3721" t="s">
        <v>6627</v>
      </c>
      <c r="H3721" s="460">
        <v>936.52988000000005</v>
      </c>
      <c r="I3721" s="460">
        <v>33.67324</v>
      </c>
      <c r="J3721" s="460">
        <v>115.79375</v>
      </c>
      <c r="K3721" s="460">
        <v>12960.35014</v>
      </c>
      <c r="L3721" s="459" t="s">
        <v>539</v>
      </c>
      <c r="O3721">
        <v>31.260449999999999</v>
      </c>
      <c r="P3721" t="s">
        <v>10431</v>
      </c>
    </row>
    <row r="3722" spans="1:16" ht="14.4" x14ac:dyDescent="0.3">
      <c r="A3722">
        <v>526496</v>
      </c>
      <c r="B3722" t="str">
        <f t="shared" si="116"/>
        <v>SEVROLL 06441 listwa pozioma górna 1,7m czarny lakier strukturalny</v>
      </c>
      <c r="C3722" s="185">
        <f t="shared" si="117"/>
        <v>36.062510000000003</v>
      </c>
      <c r="D3722" t="s">
        <v>6591</v>
      </c>
      <c r="E3722" t="s">
        <v>6628</v>
      </c>
      <c r="F3722" t="s">
        <v>6629</v>
      </c>
      <c r="G3722" t="s">
        <v>6630</v>
      </c>
      <c r="H3722" s="460">
        <v>291.67043000000001</v>
      </c>
      <c r="I3722" s="460">
        <v>10.487109999999999</v>
      </c>
      <c r="J3722" s="460">
        <v>36.062510000000003</v>
      </c>
      <c r="K3722" s="460">
        <v>4036.3376800000001</v>
      </c>
      <c r="L3722" s="459" t="s">
        <v>539</v>
      </c>
      <c r="O3722">
        <v>9.7356700000000007</v>
      </c>
      <c r="P3722" t="s">
        <v>10432</v>
      </c>
    </row>
    <row r="3723" spans="1:16" ht="14.4" x14ac:dyDescent="0.3">
      <c r="A3723">
        <v>526497</v>
      </c>
      <c r="B3723" t="str">
        <f t="shared" si="116"/>
        <v>SEVROLL 06442 listwa pozioma górna 2,35m czarny lakier strukturalny</v>
      </c>
      <c r="C3723" s="185">
        <f t="shared" si="117"/>
        <v>49.932699999999997</v>
      </c>
      <c r="D3723" t="s">
        <v>6592</v>
      </c>
      <c r="E3723" t="s">
        <v>6631</v>
      </c>
      <c r="F3723" t="s">
        <v>6632</v>
      </c>
      <c r="G3723" t="s">
        <v>6633</v>
      </c>
      <c r="H3723" s="460">
        <v>403.85138000000001</v>
      </c>
      <c r="I3723" s="460">
        <v>14.52061</v>
      </c>
      <c r="J3723" s="460">
        <v>49.932699999999997</v>
      </c>
      <c r="K3723" s="460">
        <v>5588.7752499999997</v>
      </c>
      <c r="L3723" s="459" t="s">
        <v>539</v>
      </c>
      <c r="O3723">
        <v>13.48016</v>
      </c>
      <c r="P3723" t="s">
        <v>10433</v>
      </c>
    </row>
    <row r="3724" spans="1:16" ht="14.4" x14ac:dyDescent="0.3">
      <c r="A3724">
        <v>526500</v>
      </c>
      <c r="B3724" t="str">
        <f t="shared" si="116"/>
        <v>SEVROLL 06124 listwa pozioma górna 3m czarny lakier strukturalny</v>
      </c>
      <c r="C3724" s="185">
        <f t="shared" si="117"/>
        <v>63.7134</v>
      </c>
      <c r="D3724" t="s">
        <v>6593</v>
      </c>
      <c r="E3724" t="s">
        <v>6634</v>
      </c>
      <c r="F3724" t="s">
        <v>6635</v>
      </c>
      <c r="G3724" t="s">
        <v>6636</v>
      </c>
      <c r="H3724" s="460">
        <v>515.30856000000006</v>
      </c>
      <c r="I3724" s="460">
        <v>18.528089999999999</v>
      </c>
      <c r="J3724" s="460">
        <v>63.7134</v>
      </c>
      <c r="K3724" s="460">
        <v>7131.1972999999998</v>
      </c>
      <c r="L3724" s="459" t="s">
        <v>539</v>
      </c>
      <c r="O3724">
        <v>17.200500000000002</v>
      </c>
      <c r="P3724" t="s">
        <v>10434</v>
      </c>
    </row>
    <row r="3725" spans="1:16" ht="14.4" x14ac:dyDescent="0.3">
      <c r="A3725">
        <v>526501</v>
      </c>
      <c r="B3725" t="str">
        <f t="shared" si="116"/>
        <v>SEVROLL 06125 listwa łącząca H10 3m czarny lakier strukturalny</v>
      </c>
      <c r="C3725" s="185">
        <f t="shared" si="117"/>
        <v>54.406959999999998</v>
      </c>
      <c r="D3725" t="s">
        <v>6594</v>
      </c>
      <c r="E3725" t="s">
        <v>6637</v>
      </c>
      <c r="F3725" t="s">
        <v>6638</v>
      </c>
      <c r="G3725" t="s">
        <v>6639</v>
      </c>
      <c r="H3725" s="460">
        <v>440.03877999999997</v>
      </c>
      <c r="I3725" s="460">
        <v>15.82174</v>
      </c>
      <c r="J3725" s="460">
        <v>54.406959999999998</v>
      </c>
      <c r="K3725" s="460">
        <v>6089.5615900000003</v>
      </c>
      <c r="L3725" s="459" t="s">
        <v>539</v>
      </c>
      <c r="O3725">
        <v>14.68806</v>
      </c>
      <c r="P3725" t="s">
        <v>10435</v>
      </c>
    </row>
    <row r="3726" spans="1:16" ht="14.4" x14ac:dyDescent="0.3">
      <c r="A3726">
        <v>526506</v>
      </c>
      <c r="B3726" t="str">
        <f t="shared" si="116"/>
        <v>SEVROLL 06269 Elegant II tor dolny 1,7 m czarny lakier strukturalny</v>
      </c>
      <c r="C3726" s="185">
        <f t="shared" si="117"/>
        <v>37.315300000000001</v>
      </c>
      <c r="D3726" t="s">
        <v>6595</v>
      </c>
      <c r="E3726" t="s">
        <v>6640</v>
      </c>
      <c r="F3726" t="s">
        <v>6641</v>
      </c>
      <c r="G3726" t="s">
        <v>6642</v>
      </c>
      <c r="H3726" s="460">
        <v>301.80291999999997</v>
      </c>
      <c r="I3726" s="460">
        <v>10.851419999999999</v>
      </c>
      <c r="J3726" s="460">
        <v>37.315300000000001</v>
      </c>
      <c r="K3726" s="460">
        <v>4176.5579900000002</v>
      </c>
      <c r="L3726" s="459" t="s">
        <v>539</v>
      </c>
      <c r="O3726">
        <v>10.07389</v>
      </c>
      <c r="P3726" t="s">
        <v>10436</v>
      </c>
    </row>
    <row r="3727" spans="1:16" ht="14.4" x14ac:dyDescent="0.3">
      <c r="A3727">
        <v>526509</v>
      </c>
      <c r="B3727" t="str">
        <f t="shared" si="116"/>
        <v>SEVROLL 06270 Elegant II tor dolny 2,35 m czarny lakier strukturalny</v>
      </c>
      <c r="C3727" s="185">
        <f t="shared" si="117"/>
        <v>51.274979999999999</v>
      </c>
      <c r="D3727" t="s">
        <v>6596</v>
      </c>
      <c r="E3727" t="s">
        <v>6643</v>
      </c>
      <c r="F3727" t="s">
        <v>6644</v>
      </c>
      <c r="G3727" t="s">
        <v>6645</v>
      </c>
      <c r="H3727" s="460">
        <v>414.70758000000001</v>
      </c>
      <c r="I3727" s="460">
        <v>14.91095</v>
      </c>
      <c r="J3727" s="460">
        <v>51.274979999999999</v>
      </c>
      <c r="K3727" s="460">
        <v>5739.01116</v>
      </c>
      <c r="L3727" s="459" t="s">
        <v>539</v>
      </c>
      <c r="O3727">
        <v>13.84253</v>
      </c>
      <c r="P3727" t="s">
        <v>10437</v>
      </c>
    </row>
    <row r="3728" spans="1:16" ht="14.4" x14ac:dyDescent="0.3">
      <c r="A3728">
        <v>526510</v>
      </c>
      <c r="B3728" t="str">
        <f t="shared" si="116"/>
        <v>SEVROLL 06271 Elegant II tor dolny 3 m czarny lakier strukturalny</v>
      </c>
      <c r="C3728" s="185">
        <f t="shared" si="117"/>
        <v>65.145169999999993</v>
      </c>
      <c r="D3728" t="s">
        <v>6597</v>
      </c>
      <c r="E3728" t="s">
        <v>6646</v>
      </c>
      <c r="F3728" t="s">
        <v>6647</v>
      </c>
      <c r="G3728" t="s">
        <v>6648</v>
      </c>
      <c r="H3728" s="460">
        <v>526.88854000000003</v>
      </c>
      <c r="I3728" s="460">
        <v>18.94445</v>
      </c>
      <c r="J3728" s="460">
        <v>65.145169999999993</v>
      </c>
      <c r="K3728" s="460">
        <v>7291.4487600000002</v>
      </c>
      <c r="L3728" s="459" t="s">
        <v>539</v>
      </c>
      <c r="O3728">
        <v>17.587019999999999</v>
      </c>
      <c r="P3728" t="s">
        <v>10438</v>
      </c>
    </row>
    <row r="3729" spans="1:16" ht="14.4" x14ac:dyDescent="0.3">
      <c r="A3729">
        <v>526511</v>
      </c>
      <c r="B3729" t="str">
        <f t="shared" si="116"/>
        <v>SEVROLL 06272 Elegant II tor dolny 4,05 m czarny lakier strukturalny</v>
      </c>
      <c r="C3729" s="185">
        <f t="shared" si="117"/>
        <v>88.232330000000005</v>
      </c>
      <c r="D3729" t="s">
        <v>6598</v>
      </c>
      <c r="E3729" t="s">
        <v>6649</v>
      </c>
      <c r="F3729" t="s">
        <v>6650</v>
      </c>
      <c r="G3729" t="s">
        <v>6651</v>
      </c>
      <c r="H3729" s="460">
        <v>713.61551999999995</v>
      </c>
      <c r="I3729" s="460">
        <v>25.658280000000001</v>
      </c>
      <c r="J3729" s="460">
        <v>88.232330000000005</v>
      </c>
      <c r="K3729" s="460">
        <v>9875.5060699999995</v>
      </c>
      <c r="L3729" s="459" t="s">
        <v>539</v>
      </c>
      <c r="O3729">
        <v>23.819790000000001</v>
      </c>
      <c r="P3729" t="s">
        <v>10439</v>
      </c>
    </row>
    <row r="3730" spans="1:16" ht="14.4" x14ac:dyDescent="0.3">
      <c r="A3730">
        <v>526512</v>
      </c>
      <c r="B3730" t="str">
        <f t="shared" si="116"/>
        <v>SEVROLL 06128 Elegant II tor dolny 6m czarny lakier strukturalny</v>
      </c>
      <c r="C3730" s="185">
        <f t="shared" si="117"/>
        <v>0</v>
      </c>
      <c r="D3730" t="s">
        <v>6599</v>
      </c>
      <c r="E3730" t="s">
        <v>6652</v>
      </c>
      <c r="F3730" t="s">
        <v>6653</v>
      </c>
      <c r="G3730" t="s">
        <v>6654</v>
      </c>
      <c r="H3730" s="460">
        <v>1054.50082</v>
      </c>
      <c r="I3730" s="460">
        <v>37.914929999999998</v>
      </c>
      <c r="J3730" s="460">
        <v>0</v>
      </c>
      <c r="K3730" s="460">
        <v>14592.91346</v>
      </c>
      <c r="L3730" s="459" t="s">
        <v>539</v>
      </c>
      <c r="O3730">
        <v>35.198210000000003</v>
      </c>
      <c r="P3730" t="s">
        <v>10440</v>
      </c>
    </row>
    <row r="3731" spans="1:16" ht="14.4" x14ac:dyDescent="0.3">
      <c r="A3731">
        <v>526516</v>
      </c>
      <c r="B3731" t="str">
        <f t="shared" si="116"/>
        <v>SEVROLL 06285 Gemini tor górny 1,7 m czarny lakier strukturalny</v>
      </c>
      <c r="C3731" s="185">
        <f t="shared" si="117"/>
        <v>63.265970000000003</v>
      </c>
      <c r="D3731" t="s">
        <v>6600</v>
      </c>
      <c r="E3731" t="s">
        <v>6655</v>
      </c>
      <c r="F3731" t="s">
        <v>6656</v>
      </c>
      <c r="G3731" t="s">
        <v>6657</v>
      </c>
      <c r="H3731" s="460">
        <v>511.68982999999997</v>
      </c>
      <c r="I3731" s="460">
        <v>18.39798</v>
      </c>
      <c r="J3731" s="460">
        <v>63.265970000000003</v>
      </c>
      <c r="K3731" s="460">
        <v>7081.1186600000001</v>
      </c>
      <c r="L3731" s="459" t="s">
        <v>539</v>
      </c>
      <c r="O3731">
        <v>17.079709999999999</v>
      </c>
      <c r="P3731" t="s">
        <v>10441</v>
      </c>
    </row>
    <row r="3732" spans="1:16" ht="14.4" x14ac:dyDescent="0.3">
      <c r="A3732">
        <v>526519</v>
      </c>
      <c r="B3732" t="str">
        <f t="shared" si="116"/>
        <v>SEVROLL 06286 Gemini tor górny 2,35 m czarny lakier strukturalny</v>
      </c>
      <c r="C3732" s="185">
        <f t="shared" si="117"/>
        <v>87.516450000000006</v>
      </c>
      <c r="D3732" t="s">
        <v>6601</v>
      </c>
      <c r="E3732" t="s">
        <v>6658</v>
      </c>
      <c r="F3732" t="s">
        <v>6659</v>
      </c>
      <c r="G3732" t="s">
        <v>6660</v>
      </c>
      <c r="H3732" s="460">
        <v>707.82552999999996</v>
      </c>
      <c r="I3732" s="460">
        <v>25.450099999999999</v>
      </c>
      <c r="J3732" s="460">
        <v>87.516450000000006</v>
      </c>
      <c r="K3732" s="460">
        <v>9795.3803599999992</v>
      </c>
      <c r="L3732" s="459" t="s">
        <v>539</v>
      </c>
      <c r="O3732">
        <v>23.626519999999999</v>
      </c>
      <c r="P3732" t="s">
        <v>10442</v>
      </c>
    </row>
    <row r="3733" spans="1:16" ht="14.4" x14ac:dyDescent="0.3">
      <c r="A3733">
        <v>526520</v>
      </c>
      <c r="B3733" t="str">
        <f t="shared" si="116"/>
        <v>SEVROLL 06287 Gemini tor górny 3 m czarny lakier strukturalny</v>
      </c>
      <c r="C3733" s="185">
        <f t="shared" si="117"/>
        <v>111.67742</v>
      </c>
      <c r="D3733" t="s">
        <v>6602</v>
      </c>
      <c r="E3733" t="s">
        <v>6661</v>
      </c>
      <c r="F3733" t="s">
        <v>6662</v>
      </c>
      <c r="G3733" t="s">
        <v>6663</v>
      </c>
      <c r="H3733" s="460">
        <v>903.23748000000001</v>
      </c>
      <c r="I3733" s="460">
        <v>32.476199999999999</v>
      </c>
      <c r="J3733" s="460">
        <v>111.67742</v>
      </c>
      <c r="K3733" s="460">
        <v>12499.626490000001</v>
      </c>
      <c r="L3733" s="459" t="s">
        <v>539</v>
      </c>
      <c r="O3733">
        <v>30.149180000000001</v>
      </c>
      <c r="P3733" t="s">
        <v>10443</v>
      </c>
    </row>
    <row r="3734" spans="1:16" ht="14.4" x14ac:dyDescent="0.3">
      <c r="A3734">
        <v>526521</v>
      </c>
      <c r="B3734" t="str">
        <f t="shared" si="116"/>
        <v>SEVROLL 06288 Gemini tor górny 4,05 m czarny lakier strukturalny</v>
      </c>
      <c r="C3734" s="185">
        <f t="shared" si="117"/>
        <v>150.78242</v>
      </c>
      <c r="D3734" t="s">
        <v>6603</v>
      </c>
      <c r="E3734" t="s">
        <v>6664</v>
      </c>
      <c r="F3734" t="s">
        <v>6665</v>
      </c>
      <c r="G3734" t="s">
        <v>6666</v>
      </c>
      <c r="H3734" s="460">
        <v>1219.5153600000001</v>
      </c>
      <c r="I3734" s="460">
        <v>43.848080000000003</v>
      </c>
      <c r="J3734" s="460">
        <v>150.78242</v>
      </c>
      <c r="K3734" s="460">
        <v>16876.499019999999</v>
      </c>
      <c r="L3734" s="459" t="s">
        <v>539</v>
      </c>
      <c r="O3734">
        <v>40.706229999999998</v>
      </c>
      <c r="P3734" t="s">
        <v>10444</v>
      </c>
    </row>
    <row r="3735" spans="1:16" ht="14.4" x14ac:dyDescent="0.3">
      <c r="A3735">
        <v>526522</v>
      </c>
      <c r="B3735" t="str">
        <f t="shared" si="116"/>
        <v>SEVROLL 06154 Gemini tor górny 6m czarny lakier strukturalny</v>
      </c>
      <c r="C3735" s="185">
        <f t="shared" si="117"/>
        <v>0</v>
      </c>
      <c r="D3735" t="s">
        <v>6604</v>
      </c>
      <c r="E3735" t="s">
        <v>6667</v>
      </c>
      <c r="F3735" t="s">
        <v>6668</v>
      </c>
      <c r="G3735" t="s">
        <v>6669</v>
      </c>
      <c r="H3735" s="460">
        <v>1806.47497</v>
      </c>
      <c r="I3735" s="460">
        <v>64.95241</v>
      </c>
      <c r="J3735" s="460">
        <v>0</v>
      </c>
      <c r="K3735" s="460">
        <v>24999.252980000001</v>
      </c>
      <c r="L3735" s="459" t="s">
        <v>539</v>
      </c>
      <c r="O3735">
        <v>60.298369999999998</v>
      </c>
      <c r="P3735" t="s">
        <v>10445</v>
      </c>
    </row>
    <row r="3736" spans="1:16" ht="14.4" x14ac:dyDescent="0.3">
      <c r="A3736">
        <v>526524</v>
      </c>
      <c r="B3736" t="str">
        <f t="shared" si="116"/>
        <v>SEVROLL 06301 zaślepka do toru Elegant II 1,7m czarny lakier strukturalny</v>
      </c>
      <c r="C3736" s="185">
        <f t="shared" si="117"/>
        <v>11.454090000000001</v>
      </c>
      <c r="D3736" t="s">
        <v>6605</v>
      </c>
      <c r="E3736" t="s">
        <v>6670</v>
      </c>
      <c r="F3736" t="s">
        <v>6671</v>
      </c>
      <c r="G3736" t="s">
        <v>6672</v>
      </c>
      <c r="H3736" s="460">
        <v>92.639750000000006</v>
      </c>
      <c r="I3736" s="460">
        <v>3.3308900000000001</v>
      </c>
      <c r="J3736" s="460">
        <v>11.454090000000001</v>
      </c>
      <c r="K3736" s="460">
        <v>1282.0129099999999</v>
      </c>
      <c r="L3736" s="459" t="s">
        <v>539</v>
      </c>
      <c r="O3736">
        <v>3.0922200000000002</v>
      </c>
      <c r="P3736" t="s">
        <v>10446</v>
      </c>
    </row>
    <row r="3737" spans="1:16" ht="14.4" x14ac:dyDescent="0.3">
      <c r="A3737">
        <v>526525</v>
      </c>
      <c r="B3737" t="str">
        <f t="shared" si="116"/>
        <v>SEVROLL 06302 zaślepka do toru Elegant II 2,35m czarny lakier strukturalny</v>
      </c>
      <c r="C3737" s="185">
        <f t="shared" si="117"/>
        <v>15.83888</v>
      </c>
      <c r="D3737" t="s">
        <v>6606</v>
      </c>
      <c r="E3737" t="s">
        <v>6673</v>
      </c>
      <c r="F3737" t="s">
        <v>6674</v>
      </c>
      <c r="G3737" t="s">
        <v>6675</v>
      </c>
      <c r="H3737" s="460">
        <v>128.10339999999999</v>
      </c>
      <c r="I3737" s="460">
        <v>4.6059999999999999</v>
      </c>
      <c r="J3737" s="460">
        <v>15.83888</v>
      </c>
      <c r="K3737" s="460">
        <v>1772.7836600000001</v>
      </c>
      <c r="L3737" s="459" t="s">
        <v>539</v>
      </c>
      <c r="O3737">
        <v>4.27597</v>
      </c>
      <c r="P3737" t="s">
        <v>10447</v>
      </c>
    </row>
    <row r="3738" spans="1:16" ht="14.4" x14ac:dyDescent="0.3">
      <c r="A3738">
        <v>526526</v>
      </c>
      <c r="B3738" t="str">
        <f t="shared" si="116"/>
        <v>SEVROLL 06303 maskownica do toru Elegant II 3m czarny lakier strukturalny</v>
      </c>
      <c r="C3738" s="185">
        <f t="shared" si="117"/>
        <v>20.22364</v>
      </c>
      <c r="D3738" t="s">
        <v>6607</v>
      </c>
      <c r="E3738" t="s">
        <v>6676</v>
      </c>
      <c r="F3738" t="s">
        <v>6677</v>
      </c>
      <c r="G3738" t="s">
        <v>6678</v>
      </c>
      <c r="H3738" s="460">
        <v>163.56704999999999</v>
      </c>
      <c r="I3738" s="460">
        <v>5.8811099999999996</v>
      </c>
      <c r="J3738" s="460">
        <v>20.22364</v>
      </c>
      <c r="K3738" s="460">
        <v>2263.5540099999998</v>
      </c>
      <c r="L3738" s="459" t="s">
        <v>539</v>
      </c>
      <c r="O3738">
        <v>5.4597100000000003</v>
      </c>
      <c r="P3738" t="s">
        <v>10448</v>
      </c>
    </row>
    <row r="3739" spans="1:16" ht="14.4" x14ac:dyDescent="0.3">
      <c r="A3739">
        <v>526527</v>
      </c>
      <c r="B3739" t="str">
        <f t="shared" si="116"/>
        <v>SEVROLL 06304 zaślepka do toru Elegant II 4,05m czarny lakier strukturalny</v>
      </c>
      <c r="C3739" s="185">
        <f t="shared" si="117"/>
        <v>27.29297</v>
      </c>
      <c r="D3739" t="s">
        <v>6608</v>
      </c>
      <c r="E3739" t="s">
        <v>6679</v>
      </c>
      <c r="F3739" t="s">
        <v>6680</v>
      </c>
      <c r="G3739" t="s">
        <v>6681</v>
      </c>
      <c r="H3739" s="460">
        <v>220.74315000000001</v>
      </c>
      <c r="I3739" s="460">
        <v>7.93689</v>
      </c>
      <c r="J3739" s="460">
        <v>27.29297</v>
      </c>
      <c r="K3739" s="460">
        <v>3054.79655</v>
      </c>
      <c r="L3739" s="459" t="s">
        <v>539</v>
      </c>
      <c r="O3739">
        <v>7.3681900000000002</v>
      </c>
      <c r="P3739" t="s">
        <v>10449</v>
      </c>
    </row>
    <row r="3740" spans="1:16" ht="14.4" x14ac:dyDescent="0.3">
      <c r="A3740">
        <v>526528</v>
      </c>
      <c r="B3740" t="str">
        <f t="shared" si="116"/>
        <v>SEVROLL 06157 maskownica do toru Elegant II 6m czarny lakier strukturalny</v>
      </c>
      <c r="C3740" s="185">
        <f t="shared" si="117"/>
        <v>0</v>
      </c>
      <c r="D3740" t="s">
        <v>6609</v>
      </c>
      <c r="E3740" t="s">
        <v>6682</v>
      </c>
      <c r="F3740" t="s">
        <v>6683</v>
      </c>
      <c r="G3740" t="s">
        <v>6684</v>
      </c>
      <c r="H3740" s="460">
        <v>327.13407999999998</v>
      </c>
      <c r="I3740" s="460">
        <v>11.762219999999999</v>
      </c>
      <c r="J3740" s="460">
        <v>0</v>
      </c>
      <c r="K3740" s="460">
        <v>4527.1084300000002</v>
      </c>
      <c r="L3740" s="459" t="s">
        <v>539</v>
      </c>
      <c r="O3740">
        <v>10.919420000000001</v>
      </c>
      <c r="P3740" t="s">
        <v>10450</v>
      </c>
    </row>
    <row r="3741" spans="1:16" ht="14.4" x14ac:dyDescent="0.3">
      <c r="A3741">
        <v>525015</v>
      </c>
      <c r="B3741" t="str">
        <f t="shared" si="116"/>
        <v>SEVROLL 06370 Gemini rączka 2,7m czarny lakier strukturalny</v>
      </c>
      <c r="C3741" s="185">
        <f t="shared" si="117"/>
        <v>84.473960000000005</v>
      </c>
      <c r="D3741" t="s">
        <v>6610</v>
      </c>
      <c r="E3741" t="s">
        <v>6685</v>
      </c>
      <c r="F3741" t="s">
        <v>6686</v>
      </c>
      <c r="G3741" t="s">
        <v>6687</v>
      </c>
      <c r="H3741" s="460">
        <v>683.21807999999999</v>
      </c>
      <c r="I3741" s="460">
        <v>24.565329999999999</v>
      </c>
      <c r="J3741" s="460">
        <v>84.473960000000005</v>
      </c>
      <c r="K3741" s="460">
        <v>9454.8458900000005</v>
      </c>
      <c r="L3741" s="459" t="s">
        <v>539</v>
      </c>
      <c r="O3741">
        <v>22.805150000000001</v>
      </c>
      <c r="P3741" t="s">
        <v>10451</v>
      </c>
    </row>
    <row r="3742" spans="1:16" ht="14.4" x14ac:dyDescent="0.3">
      <c r="A3742">
        <v>526476</v>
      </c>
      <c r="B3742" t="str">
        <f t="shared" si="116"/>
        <v>SEVROLL 06439 listwa pozioma dolna 1,7m 10mm czarny lakier strukturalny</v>
      </c>
      <c r="C3742" s="185">
        <f t="shared" si="117"/>
        <v>65.503110000000007</v>
      </c>
      <c r="D3742" t="s">
        <v>6588</v>
      </c>
      <c r="E3742" t="s">
        <v>6619</v>
      </c>
      <c r="F3742" t="s">
        <v>6620</v>
      </c>
      <c r="G3742" t="s">
        <v>6621</v>
      </c>
      <c r="H3742" s="460">
        <v>529.78351999999995</v>
      </c>
      <c r="I3742" s="460">
        <v>19.048539999999999</v>
      </c>
      <c r="J3742" s="460">
        <v>65.503110000000007</v>
      </c>
      <c r="K3742" s="460">
        <v>7331.51181</v>
      </c>
      <c r="L3742" s="459" t="s">
        <v>539</v>
      </c>
      <c r="O3742">
        <v>17.68366</v>
      </c>
      <c r="P3742" t="s">
        <v>10429</v>
      </c>
    </row>
    <row r="3743" spans="1:16" ht="14.4" x14ac:dyDescent="0.3">
      <c r="A3743">
        <v>526477</v>
      </c>
      <c r="B3743" t="str">
        <f t="shared" si="116"/>
        <v>SEVROLL 06440 listwa pozioma dolna 2,35m 10mm czarny lakier strukturalny</v>
      </c>
      <c r="C3743" s="185">
        <f t="shared" si="117"/>
        <v>90.469449999999995</v>
      </c>
      <c r="D3743" t="s">
        <v>6589</v>
      </c>
      <c r="E3743" t="s">
        <v>6622</v>
      </c>
      <c r="F3743" t="s">
        <v>6623</v>
      </c>
      <c r="G3743" t="s">
        <v>6624</v>
      </c>
      <c r="H3743" s="460">
        <v>731.70920999999998</v>
      </c>
      <c r="I3743" s="460">
        <v>26.30885</v>
      </c>
      <c r="J3743" s="460">
        <v>90.469449999999995</v>
      </c>
      <c r="K3743" s="460">
        <v>10125.899240000001</v>
      </c>
      <c r="L3743" s="459" t="s">
        <v>539</v>
      </c>
      <c r="O3743">
        <v>24.423739999999999</v>
      </c>
      <c r="P3743" t="s">
        <v>10430</v>
      </c>
    </row>
    <row r="3744" spans="1:16" ht="14.4" x14ac:dyDescent="0.3">
      <c r="A3744">
        <v>526478</v>
      </c>
      <c r="B3744" t="str">
        <f t="shared" si="116"/>
        <v>SEVROLL 06123 listaw pozioma dolna 3m 10mm czarny lakier strukturalny</v>
      </c>
      <c r="C3744" s="185">
        <f t="shared" si="117"/>
        <v>115.79375</v>
      </c>
      <c r="D3744" t="s">
        <v>6590</v>
      </c>
      <c r="E3744" t="s">
        <v>6625</v>
      </c>
      <c r="F3744" t="s">
        <v>6626</v>
      </c>
      <c r="G3744" t="s">
        <v>6627</v>
      </c>
      <c r="H3744" s="460">
        <v>936.52988000000005</v>
      </c>
      <c r="I3744" s="460">
        <v>33.67324</v>
      </c>
      <c r="J3744" s="460">
        <v>115.79375</v>
      </c>
      <c r="K3744" s="460">
        <v>12960.35014</v>
      </c>
      <c r="L3744" s="459" t="s">
        <v>539</v>
      </c>
      <c r="O3744">
        <v>31.260449999999999</v>
      </c>
      <c r="P3744" t="s">
        <v>10431</v>
      </c>
    </row>
    <row r="3745" spans="1:16" ht="14.4" x14ac:dyDescent="0.3">
      <c r="A3745">
        <v>526496</v>
      </c>
      <c r="B3745" t="str">
        <f t="shared" si="116"/>
        <v>SEVROLL 06441 listwa pozioma górna 1,7m czarny lakier strukturalny</v>
      </c>
      <c r="C3745" s="185">
        <f t="shared" si="117"/>
        <v>36.062510000000003</v>
      </c>
      <c r="D3745" t="s">
        <v>6591</v>
      </c>
      <c r="E3745" t="s">
        <v>6628</v>
      </c>
      <c r="F3745" t="s">
        <v>6629</v>
      </c>
      <c r="G3745" t="s">
        <v>6630</v>
      </c>
      <c r="H3745" s="460">
        <v>291.67043000000001</v>
      </c>
      <c r="I3745" s="460">
        <v>10.487109999999999</v>
      </c>
      <c r="J3745" s="460">
        <v>36.062510000000003</v>
      </c>
      <c r="K3745" s="460">
        <v>4036.3376800000001</v>
      </c>
      <c r="L3745" s="459" t="s">
        <v>539</v>
      </c>
      <c r="O3745">
        <v>9.7356700000000007</v>
      </c>
      <c r="P3745" t="s">
        <v>10432</v>
      </c>
    </row>
    <row r="3746" spans="1:16" ht="14.4" x14ac:dyDescent="0.3">
      <c r="A3746">
        <v>526497</v>
      </c>
      <c r="B3746" t="str">
        <f t="shared" si="116"/>
        <v>SEVROLL 06442 listwa pozioma górna 2,35m czarny lakier strukturalny</v>
      </c>
      <c r="C3746" s="185">
        <f t="shared" si="117"/>
        <v>49.932699999999997</v>
      </c>
      <c r="D3746" t="s">
        <v>6592</v>
      </c>
      <c r="E3746" t="s">
        <v>6631</v>
      </c>
      <c r="F3746" t="s">
        <v>6632</v>
      </c>
      <c r="G3746" t="s">
        <v>6633</v>
      </c>
      <c r="H3746" s="460">
        <v>403.85138000000001</v>
      </c>
      <c r="I3746" s="460">
        <v>14.52061</v>
      </c>
      <c r="J3746" s="460">
        <v>49.932699999999997</v>
      </c>
      <c r="K3746" s="460">
        <v>5588.7752499999997</v>
      </c>
      <c r="L3746" s="459" t="s">
        <v>539</v>
      </c>
      <c r="O3746">
        <v>13.48016</v>
      </c>
      <c r="P3746" t="s">
        <v>10433</v>
      </c>
    </row>
    <row r="3747" spans="1:16" ht="14.4" x14ac:dyDescent="0.3">
      <c r="A3747">
        <v>526500</v>
      </c>
      <c r="B3747" t="str">
        <f t="shared" si="116"/>
        <v>SEVROLL 06124 listwa pozioma górna 3m czarny lakier strukturalny</v>
      </c>
      <c r="C3747" s="185">
        <f t="shared" si="117"/>
        <v>63.7134</v>
      </c>
      <c r="D3747" t="s">
        <v>6593</v>
      </c>
      <c r="E3747" t="s">
        <v>6634</v>
      </c>
      <c r="F3747" t="s">
        <v>6635</v>
      </c>
      <c r="G3747" t="s">
        <v>6636</v>
      </c>
      <c r="H3747" s="460">
        <v>515.30856000000006</v>
      </c>
      <c r="I3747" s="460">
        <v>18.528089999999999</v>
      </c>
      <c r="J3747" s="460">
        <v>63.7134</v>
      </c>
      <c r="K3747" s="460">
        <v>7131.1972999999998</v>
      </c>
      <c r="L3747" s="459" t="s">
        <v>539</v>
      </c>
      <c r="O3747">
        <v>17.200500000000002</v>
      </c>
      <c r="P3747" t="s">
        <v>10434</v>
      </c>
    </row>
    <row r="3748" spans="1:16" ht="14.4" x14ac:dyDescent="0.3">
      <c r="A3748">
        <v>526501</v>
      </c>
      <c r="B3748" t="str">
        <f t="shared" si="116"/>
        <v>SEVROLL 06125 listwa łącząca H10 3m czarny lakier strukturalny</v>
      </c>
      <c r="C3748" s="185">
        <f t="shared" si="117"/>
        <v>54.406959999999998</v>
      </c>
      <c r="D3748" t="s">
        <v>6594</v>
      </c>
      <c r="E3748" t="s">
        <v>6637</v>
      </c>
      <c r="F3748" t="s">
        <v>6638</v>
      </c>
      <c r="G3748" t="s">
        <v>6639</v>
      </c>
      <c r="H3748" s="460">
        <v>440.03877999999997</v>
      </c>
      <c r="I3748" s="460">
        <v>15.82174</v>
      </c>
      <c r="J3748" s="460">
        <v>54.406959999999998</v>
      </c>
      <c r="K3748" s="460">
        <v>6089.5615900000003</v>
      </c>
      <c r="L3748" s="459" t="s">
        <v>539</v>
      </c>
      <c r="O3748">
        <v>14.68806</v>
      </c>
      <c r="P3748" t="s">
        <v>10435</v>
      </c>
    </row>
    <row r="3749" spans="1:16" ht="14.4" x14ac:dyDescent="0.3">
      <c r="A3749">
        <v>526506</v>
      </c>
      <c r="B3749" t="str">
        <f t="shared" si="116"/>
        <v>SEVROLL 06269 Elegant II tor dolny 1,7 m czarny lakier strukturalny</v>
      </c>
      <c r="C3749" s="185">
        <f t="shared" si="117"/>
        <v>37.315300000000001</v>
      </c>
      <c r="D3749" t="s">
        <v>6595</v>
      </c>
      <c r="E3749" t="s">
        <v>6640</v>
      </c>
      <c r="F3749" t="s">
        <v>6641</v>
      </c>
      <c r="G3749" t="s">
        <v>6642</v>
      </c>
      <c r="H3749" s="460">
        <v>301.80291999999997</v>
      </c>
      <c r="I3749" s="460">
        <v>10.851419999999999</v>
      </c>
      <c r="J3749" s="460">
        <v>37.315300000000001</v>
      </c>
      <c r="K3749" s="460">
        <v>4176.5579900000002</v>
      </c>
      <c r="L3749" s="459" t="s">
        <v>539</v>
      </c>
      <c r="O3749">
        <v>10.07389</v>
      </c>
      <c r="P3749" t="s">
        <v>10436</v>
      </c>
    </row>
    <row r="3750" spans="1:16" ht="14.4" x14ac:dyDescent="0.3">
      <c r="A3750">
        <v>526509</v>
      </c>
      <c r="B3750" t="str">
        <f t="shared" si="116"/>
        <v>SEVROLL 06270 Elegant II tor dolny 2,35 m czarny lakier strukturalny</v>
      </c>
      <c r="C3750" s="185">
        <f t="shared" si="117"/>
        <v>51.274979999999999</v>
      </c>
      <c r="D3750" t="s">
        <v>6596</v>
      </c>
      <c r="E3750" t="s">
        <v>6643</v>
      </c>
      <c r="F3750" t="s">
        <v>6644</v>
      </c>
      <c r="G3750" t="s">
        <v>6645</v>
      </c>
      <c r="H3750" s="460">
        <v>414.70758000000001</v>
      </c>
      <c r="I3750" s="460">
        <v>14.91095</v>
      </c>
      <c r="J3750" s="460">
        <v>51.274979999999999</v>
      </c>
      <c r="K3750" s="460">
        <v>5739.01116</v>
      </c>
      <c r="L3750" s="459" t="s">
        <v>539</v>
      </c>
      <c r="O3750">
        <v>13.84253</v>
      </c>
      <c r="P3750" t="s">
        <v>10437</v>
      </c>
    </row>
    <row r="3751" spans="1:16" ht="14.4" x14ac:dyDescent="0.3">
      <c r="A3751">
        <v>526510</v>
      </c>
      <c r="B3751" t="str">
        <f t="shared" si="116"/>
        <v>SEVROLL 06271 Elegant II tor dolny 3 m czarny lakier strukturalny</v>
      </c>
      <c r="C3751" s="185">
        <f t="shared" si="117"/>
        <v>65.145169999999993</v>
      </c>
      <c r="D3751" t="s">
        <v>6597</v>
      </c>
      <c r="E3751" t="s">
        <v>6646</v>
      </c>
      <c r="F3751" t="s">
        <v>6647</v>
      </c>
      <c r="G3751" t="s">
        <v>6648</v>
      </c>
      <c r="H3751" s="460">
        <v>526.88854000000003</v>
      </c>
      <c r="I3751" s="460">
        <v>18.94445</v>
      </c>
      <c r="J3751" s="460">
        <v>65.145169999999993</v>
      </c>
      <c r="K3751" s="460">
        <v>7291.4487600000002</v>
      </c>
      <c r="L3751" s="459" t="s">
        <v>539</v>
      </c>
      <c r="O3751">
        <v>17.587019999999999</v>
      </c>
      <c r="P3751" t="s">
        <v>10438</v>
      </c>
    </row>
    <row r="3752" spans="1:16" ht="14.4" x14ac:dyDescent="0.3">
      <c r="A3752">
        <v>526511</v>
      </c>
      <c r="B3752" t="str">
        <f t="shared" si="116"/>
        <v>SEVROLL 06272 Elegant II tor dolny 4,05 m czarny lakier strukturalny</v>
      </c>
      <c r="C3752" s="185">
        <f t="shared" si="117"/>
        <v>88.232330000000005</v>
      </c>
      <c r="D3752" t="s">
        <v>6598</v>
      </c>
      <c r="E3752" t="s">
        <v>6649</v>
      </c>
      <c r="F3752" t="s">
        <v>6650</v>
      </c>
      <c r="G3752" t="s">
        <v>6651</v>
      </c>
      <c r="H3752" s="460">
        <v>713.61551999999995</v>
      </c>
      <c r="I3752" s="460">
        <v>25.658280000000001</v>
      </c>
      <c r="J3752" s="460">
        <v>88.232330000000005</v>
      </c>
      <c r="K3752" s="460">
        <v>9875.5060699999995</v>
      </c>
      <c r="L3752" s="459" t="s">
        <v>539</v>
      </c>
      <c r="O3752">
        <v>23.819790000000001</v>
      </c>
      <c r="P3752" t="s">
        <v>10439</v>
      </c>
    </row>
    <row r="3753" spans="1:16" ht="14.4" x14ac:dyDescent="0.3">
      <c r="A3753">
        <v>526512</v>
      </c>
      <c r="B3753" t="str">
        <f t="shared" si="116"/>
        <v>SEVROLL 06128 Elegant II tor dolny 6m czarny lakier strukturalny</v>
      </c>
      <c r="C3753" s="185">
        <f t="shared" si="117"/>
        <v>0</v>
      </c>
      <c r="D3753" t="s">
        <v>6599</v>
      </c>
      <c r="E3753" t="s">
        <v>6652</v>
      </c>
      <c r="F3753" t="s">
        <v>6653</v>
      </c>
      <c r="G3753" t="s">
        <v>6654</v>
      </c>
      <c r="H3753" s="460">
        <v>1054.50082</v>
      </c>
      <c r="I3753" s="460">
        <v>37.914929999999998</v>
      </c>
      <c r="J3753" s="460">
        <v>0</v>
      </c>
      <c r="K3753" s="460">
        <v>14592.91346</v>
      </c>
      <c r="L3753" s="459" t="s">
        <v>539</v>
      </c>
      <c r="O3753">
        <v>35.198210000000003</v>
      </c>
      <c r="P3753" t="s">
        <v>10440</v>
      </c>
    </row>
    <row r="3754" spans="1:16" ht="14.4" x14ac:dyDescent="0.3">
      <c r="A3754">
        <v>526516</v>
      </c>
      <c r="B3754" t="str">
        <f t="shared" si="116"/>
        <v>SEVROLL 06285 Gemini tor górny 1,7 m czarny lakier strukturalny</v>
      </c>
      <c r="C3754" s="185">
        <f t="shared" si="117"/>
        <v>63.265970000000003</v>
      </c>
      <c r="D3754" t="s">
        <v>6600</v>
      </c>
      <c r="E3754" t="s">
        <v>6655</v>
      </c>
      <c r="F3754" t="s">
        <v>6656</v>
      </c>
      <c r="G3754" t="s">
        <v>6657</v>
      </c>
      <c r="H3754" s="460">
        <v>511.68982999999997</v>
      </c>
      <c r="I3754" s="460">
        <v>18.39798</v>
      </c>
      <c r="J3754" s="460">
        <v>63.265970000000003</v>
      </c>
      <c r="K3754" s="460">
        <v>7081.1186600000001</v>
      </c>
      <c r="L3754" s="459" t="s">
        <v>539</v>
      </c>
      <c r="O3754">
        <v>17.079709999999999</v>
      </c>
      <c r="P3754" t="s">
        <v>10441</v>
      </c>
    </row>
    <row r="3755" spans="1:16" ht="14.4" x14ac:dyDescent="0.3">
      <c r="A3755">
        <v>526519</v>
      </c>
      <c r="B3755" t="str">
        <f t="shared" si="116"/>
        <v>SEVROLL 06286 Gemini tor górny 2,35 m czarny lakier strukturalny</v>
      </c>
      <c r="C3755" s="185">
        <f t="shared" si="117"/>
        <v>87.516450000000006</v>
      </c>
      <c r="D3755" t="s">
        <v>6601</v>
      </c>
      <c r="E3755" t="s">
        <v>6658</v>
      </c>
      <c r="F3755" t="s">
        <v>6659</v>
      </c>
      <c r="G3755" t="s">
        <v>6660</v>
      </c>
      <c r="H3755" s="460">
        <v>707.82552999999996</v>
      </c>
      <c r="I3755" s="460">
        <v>25.450099999999999</v>
      </c>
      <c r="J3755" s="460">
        <v>87.516450000000006</v>
      </c>
      <c r="K3755" s="460">
        <v>9795.3803599999992</v>
      </c>
      <c r="L3755" s="459" t="s">
        <v>539</v>
      </c>
      <c r="O3755">
        <v>23.626519999999999</v>
      </c>
      <c r="P3755" t="s">
        <v>10442</v>
      </c>
    </row>
    <row r="3756" spans="1:16" ht="14.4" x14ac:dyDescent="0.3">
      <c r="A3756">
        <v>526520</v>
      </c>
      <c r="B3756" t="str">
        <f t="shared" si="116"/>
        <v>SEVROLL 06287 Gemini tor górny 3 m czarny lakier strukturalny</v>
      </c>
      <c r="C3756" s="185">
        <f t="shared" si="117"/>
        <v>111.67742</v>
      </c>
      <c r="D3756" t="s">
        <v>6602</v>
      </c>
      <c r="E3756" t="s">
        <v>6661</v>
      </c>
      <c r="F3756" t="s">
        <v>6662</v>
      </c>
      <c r="G3756" t="s">
        <v>6663</v>
      </c>
      <c r="H3756" s="460">
        <v>903.23748000000001</v>
      </c>
      <c r="I3756" s="460">
        <v>32.476199999999999</v>
      </c>
      <c r="J3756" s="460">
        <v>111.67742</v>
      </c>
      <c r="K3756" s="460">
        <v>12499.626490000001</v>
      </c>
      <c r="L3756" s="459" t="s">
        <v>539</v>
      </c>
      <c r="O3756">
        <v>30.149180000000001</v>
      </c>
      <c r="P3756" t="s">
        <v>10443</v>
      </c>
    </row>
    <row r="3757" spans="1:16" ht="14.4" x14ac:dyDescent="0.3">
      <c r="A3757">
        <v>526521</v>
      </c>
      <c r="B3757" t="str">
        <f t="shared" si="116"/>
        <v>SEVROLL 06288 Gemini tor górny 4,05 m czarny lakier strukturalny</v>
      </c>
      <c r="C3757" s="185">
        <f t="shared" si="117"/>
        <v>150.78242</v>
      </c>
      <c r="D3757" t="s">
        <v>6603</v>
      </c>
      <c r="E3757" t="s">
        <v>6664</v>
      </c>
      <c r="F3757" t="s">
        <v>6665</v>
      </c>
      <c r="G3757" t="s">
        <v>6666</v>
      </c>
      <c r="H3757" s="460">
        <v>1219.5153600000001</v>
      </c>
      <c r="I3757" s="460">
        <v>43.848080000000003</v>
      </c>
      <c r="J3757" s="460">
        <v>150.78242</v>
      </c>
      <c r="K3757" s="460">
        <v>16876.499019999999</v>
      </c>
      <c r="L3757" s="459" t="s">
        <v>539</v>
      </c>
      <c r="O3757">
        <v>40.706229999999998</v>
      </c>
      <c r="P3757" t="s">
        <v>10444</v>
      </c>
    </row>
    <row r="3758" spans="1:16" ht="14.4" x14ac:dyDescent="0.3">
      <c r="A3758">
        <v>526522</v>
      </c>
      <c r="B3758" t="str">
        <f t="shared" si="116"/>
        <v>SEVROLL 06154 Gemini tor górny 6m czarny lakier strukturalny</v>
      </c>
      <c r="C3758" s="185">
        <f t="shared" si="117"/>
        <v>0</v>
      </c>
      <c r="D3758" t="s">
        <v>6604</v>
      </c>
      <c r="E3758" t="s">
        <v>6667</v>
      </c>
      <c r="F3758" t="s">
        <v>6668</v>
      </c>
      <c r="G3758" t="s">
        <v>6669</v>
      </c>
      <c r="H3758" s="460">
        <v>1806.47497</v>
      </c>
      <c r="I3758" s="460">
        <v>64.95241</v>
      </c>
      <c r="J3758" s="460">
        <v>0</v>
      </c>
      <c r="K3758" s="460">
        <v>24999.252980000001</v>
      </c>
      <c r="L3758" s="459" t="s">
        <v>539</v>
      </c>
      <c r="O3758">
        <v>60.298369999999998</v>
      </c>
      <c r="P3758" t="s">
        <v>10445</v>
      </c>
    </row>
    <row r="3759" spans="1:16" ht="14.4" x14ac:dyDescent="0.3">
      <c r="A3759">
        <v>526524</v>
      </c>
      <c r="B3759" t="str">
        <f t="shared" si="116"/>
        <v>SEVROLL 06301 zaślepka do toru Elegant II 1,7m czarny lakier strukturalny</v>
      </c>
      <c r="C3759" s="185">
        <f t="shared" si="117"/>
        <v>11.454090000000001</v>
      </c>
      <c r="D3759" t="s">
        <v>6605</v>
      </c>
      <c r="E3759" t="s">
        <v>6670</v>
      </c>
      <c r="F3759" t="s">
        <v>6671</v>
      </c>
      <c r="G3759" t="s">
        <v>6672</v>
      </c>
      <c r="H3759" s="460">
        <v>92.639750000000006</v>
      </c>
      <c r="I3759" s="460">
        <v>3.3308900000000001</v>
      </c>
      <c r="J3759" s="460">
        <v>11.454090000000001</v>
      </c>
      <c r="K3759" s="460">
        <v>1282.0129099999999</v>
      </c>
      <c r="L3759" s="459" t="s">
        <v>539</v>
      </c>
      <c r="O3759">
        <v>3.0922200000000002</v>
      </c>
      <c r="P3759" t="s">
        <v>10446</v>
      </c>
    </row>
    <row r="3760" spans="1:16" ht="14.4" x14ac:dyDescent="0.3">
      <c r="A3760">
        <v>526525</v>
      </c>
      <c r="B3760" t="str">
        <f t="shared" si="116"/>
        <v>SEVROLL 06302 zaślepka do toru Elegant II 2,35m czarny lakier strukturalny</v>
      </c>
      <c r="C3760" s="185">
        <f t="shared" si="117"/>
        <v>15.83888</v>
      </c>
      <c r="D3760" t="s">
        <v>6606</v>
      </c>
      <c r="E3760" t="s">
        <v>6673</v>
      </c>
      <c r="F3760" t="s">
        <v>6674</v>
      </c>
      <c r="G3760" t="s">
        <v>6675</v>
      </c>
      <c r="H3760" s="460">
        <v>128.10339999999999</v>
      </c>
      <c r="I3760" s="460">
        <v>4.6059999999999999</v>
      </c>
      <c r="J3760" s="460">
        <v>15.83888</v>
      </c>
      <c r="K3760" s="460">
        <v>1772.7836600000001</v>
      </c>
      <c r="L3760" s="459" t="s">
        <v>539</v>
      </c>
      <c r="O3760">
        <v>4.27597</v>
      </c>
      <c r="P3760" t="s">
        <v>10447</v>
      </c>
    </row>
    <row r="3761" spans="1:16" ht="14.4" x14ac:dyDescent="0.3">
      <c r="A3761">
        <v>526526</v>
      </c>
      <c r="B3761" t="str">
        <f t="shared" si="116"/>
        <v>SEVROLL 06303 maskownica do toru Elegant II 3m czarny lakier strukturalny</v>
      </c>
      <c r="C3761" s="185">
        <f t="shared" si="117"/>
        <v>20.22364</v>
      </c>
      <c r="D3761" t="s">
        <v>6607</v>
      </c>
      <c r="E3761" t="s">
        <v>6676</v>
      </c>
      <c r="F3761" t="s">
        <v>6677</v>
      </c>
      <c r="G3761" t="s">
        <v>6678</v>
      </c>
      <c r="H3761" s="460">
        <v>163.56704999999999</v>
      </c>
      <c r="I3761" s="460">
        <v>5.8811099999999996</v>
      </c>
      <c r="J3761" s="460">
        <v>20.22364</v>
      </c>
      <c r="K3761" s="460">
        <v>2263.5540099999998</v>
      </c>
      <c r="L3761" s="459" t="s">
        <v>539</v>
      </c>
      <c r="O3761">
        <v>5.4597100000000003</v>
      </c>
      <c r="P3761" t="s">
        <v>10448</v>
      </c>
    </row>
    <row r="3762" spans="1:16" ht="14.4" x14ac:dyDescent="0.3">
      <c r="A3762">
        <v>526527</v>
      </c>
      <c r="B3762" t="str">
        <f t="shared" si="116"/>
        <v>SEVROLL 06304 zaślepka do toru Elegant II 4,05m czarny lakier strukturalny</v>
      </c>
      <c r="C3762" s="185">
        <f t="shared" si="117"/>
        <v>27.29297</v>
      </c>
      <c r="D3762" t="s">
        <v>6608</v>
      </c>
      <c r="E3762" t="s">
        <v>6679</v>
      </c>
      <c r="F3762" t="s">
        <v>6680</v>
      </c>
      <c r="G3762" t="s">
        <v>6681</v>
      </c>
      <c r="H3762" s="460">
        <v>220.74315000000001</v>
      </c>
      <c r="I3762" s="460">
        <v>7.93689</v>
      </c>
      <c r="J3762" s="460">
        <v>27.29297</v>
      </c>
      <c r="K3762" s="460">
        <v>3054.79655</v>
      </c>
      <c r="L3762" s="459" t="s">
        <v>539</v>
      </c>
      <c r="O3762">
        <v>7.3681900000000002</v>
      </c>
      <c r="P3762" t="s">
        <v>10449</v>
      </c>
    </row>
    <row r="3763" spans="1:16" ht="14.4" x14ac:dyDescent="0.3">
      <c r="A3763">
        <v>526528</v>
      </c>
      <c r="B3763" t="str">
        <f t="shared" si="116"/>
        <v>SEVROLL 06157 maskownica do toru Elegant II 6m czarny lakier strukturalny</v>
      </c>
      <c r="C3763" s="185">
        <f t="shared" si="117"/>
        <v>0</v>
      </c>
      <c r="D3763" t="s">
        <v>6609</v>
      </c>
      <c r="E3763" t="s">
        <v>6682</v>
      </c>
      <c r="F3763" t="s">
        <v>6683</v>
      </c>
      <c r="G3763" t="s">
        <v>6684</v>
      </c>
      <c r="H3763" s="460">
        <v>327.13407999999998</v>
      </c>
      <c r="I3763" s="460">
        <v>11.762219999999999</v>
      </c>
      <c r="J3763" s="460">
        <v>0</v>
      </c>
      <c r="K3763" s="460">
        <v>4527.1084300000002</v>
      </c>
      <c r="L3763" s="459" t="s">
        <v>539</v>
      </c>
      <c r="O3763">
        <v>10.919420000000001</v>
      </c>
      <c r="P3763" t="s">
        <v>10450</v>
      </c>
    </row>
    <row r="3764" spans="1:16" ht="14.4" x14ac:dyDescent="0.3">
      <c r="A3764">
        <v>524825</v>
      </c>
      <c r="B3764" t="str">
        <f t="shared" si="116"/>
        <v>SEVROLL 06438 Alfa II rączka 16/18mm 2,7m czarny lakier strukturalny</v>
      </c>
      <c r="C3764" s="185">
        <f t="shared" si="117"/>
        <v>56.554600000000001</v>
      </c>
      <c r="D3764" t="s">
        <v>6611</v>
      </c>
      <c r="E3764" t="s">
        <v>6688</v>
      </c>
      <c r="F3764" t="s">
        <v>6689</v>
      </c>
      <c r="G3764" t="s">
        <v>6690</v>
      </c>
      <c r="H3764" s="460">
        <v>457.40872000000002</v>
      </c>
      <c r="I3764" s="460">
        <v>16.446280000000002</v>
      </c>
      <c r="J3764" s="460">
        <v>56.554600000000001</v>
      </c>
      <c r="K3764" s="460">
        <v>6329.9391800000003</v>
      </c>
      <c r="L3764" s="459" t="s">
        <v>539</v>
      </c>
      <c r="O3764">
        <v>15.267860000000001</v>
      </c>
      <c r="P3764" t="s">
        <v>10452</v>
      </c>
    </row>
    <row r="3765" spans="1:16" ht="14.4" x14ac:dyDescent="0.3">
      <c r="A3765">
        <v>526502</v>
      </c>
      <c r="B3765" t="str">
        <f t="shared" si="116"/>
        <v>SEVROLL 06434 kątownik Mini 17x11mm, 1,7 m czarny lakier strukturalny</v>
      </c>
      <c r="C3765" s="185">
        <f t="shared" si="117"/>
        <v>10.91719</v>
      </c>
      <c r="D3765" t="s">
        <v>6612</v>
      </c>
      <c r="E3765" t="s">
        <v>6691</v>
      </c>
      <c r="F3765" t="s">
        <v>6692</v>
      </c>
      <c r="G3765" t="s">
        <v>6693</v>
      </c>
      <c r="H3765" s="460">
        <v>88.297250000000005</v>
      </c>
      <c r="I3765" s="460">
        <v>3.17476</v>
      </c>
      <c r="J3765" s="460">
        <v>10.91719</v>
      </c>
      <c r="K3765" s="460">
        <v>1221.9187199999999</v>
      </c>
      <c r="L3765" s="459" t="s">
        <v>539</v>
      </c>
      <c r="O3765">
        <v>2.9472800000000001</v>
      </c>
      <c r="P3765" t="s">
        <v>10453</v>
      </c>
    </row>
    <row r="3766" spans="1:16" ht="14.4" x14ac:dyDescent="0.3">
      <c r="A3766">
        <v>526503</v>
      </c>
      <c r="B3766" t="str">
        <f t="shared" si="116"/>
        <v>SEVROLL 06435 kątownik Mini 17x11mm 2,35m czarny lakier strukturalny</v>
      </c>
      <c r="C3766" s="185">
        <f t="shared" si="117"/>
        <v>15.12299</v>
      </c>
      <c r="D3766" t="s">
        <v>6613</v>
      </c>
      <c r="E3766" t="s">
        <v>6694</v>
      </c>
      <c r="F3766" t="s">
        <v>6695</v>
      </c>
      <c r="G3766" t="s">
        <v>6696</v>
      </c>
      <c r="H3766" s="460">
        <v>122.31341</v>
      </c>
      <c r="I3766" s="460">
        <v>4.3978200000000003</v>
      </c>
      <c r="J3766" s="460">
        <v>15.12299</v>
      </c>
      <c r="K3766" s="460">
        <v>1692.6579200000001</v>
      </c>
      <c r="L3766" s="459" t="s">
        <v>539</v>
      </c>
      <c r="O3766">
        <v>4.0827</v>
      </c>
      <c r="P3766" t="s">
        <v>10454</v>
      </c>
    </row>
    <row r="3767" spans="1:16" ht="14.4" x14ac:dyDescent="0.3">
      <c r="A3767">
        <v>526504</v>
      </c>
      <c r="B3767" t="str">
        <f t="shared" si="116"/>
        <v>SEVROLL 06436 kątownik Mini 17x11 mm 3m czarny lakier strukturalny</v>
      </c>
      <c r="C3767" s="185">
        <f t="shared" si="117"/>
        <v>19.328800000000001</v>
      </c>
      <c r="D3767" t="s">
        <v>6614</v>
      </c>
      <c r="E3767" t="s">
        <v>6697</v>
      </c>
      <c r="F3767" t="s">
        <v>6698</v>
      </c>
      <c r="G3767" t="s">
        <v>6699</v>
      </c>
      <c r="H3767" s="460">
        <v>156.32956999999999</v>
      </c>
      <c r="I3767" s="460">
        <v>5.6208799999999997</v>
      </c>
      <c r="J3767" s="460">
        <v>19.328800000000001</v>
      </c>
      <c r="K3767" s="460">
        <v>2163.3967400000001</v>
      </c>
      <c r="L3767" s="459" t="s">
        <v>539</v>
      </c>
      <c r="O3767">
        <v>5.2181300000000004</v>
      </c>
      <c r="P3767" t="s">
        <v>10455</v>
      </c>
    </row>
    <row r="3768" spans="1:16" ht="14.4" x14ac:dyDescent="0.3">
      <c r="A3768">
        <v>526505</v>
      </c>
      <c r="B3768" t="str">
        <f t="shared" si="116"/>
        <v>SEVROLL 06437 listwa łącząca H18 3m czarny lakier strukturalny</v>
      </c>
      <c r="C3768" s="185">
        <f t="shared" si="117"/>
        <v>53.601579999999998</v>
      </c>
      <c r="D3768" t="s">
        <v>6615</v>
      </c>
      <c r="E3768" t="s">
        <v>6700</v>
      </c>
      <c r="F3768" t="s">
        <v>6701</v>
      </c>
      <c r="G3768" t="s">
        <v>6702</v>
      </c>
      <c r="H3768" s="460">
        <v>433.52503999999999</v>
      </c>
      <c r="I3768" s="460">
        <v>15.587540000000001</v>
      </c>
      <c r="J3768" s="460">
        <v>53.601579999999998</v>
      </c>
      <c r="K3768" s="460">
        <v>5999.42029</v>
      </c>
      <c r="L3768" s="459" t="s">
        <v>539</v>
      </c>
      <c r="O3768">
        <v>14.47064</v>
      </c>
      <c r="P3768" t="s">
        <v>10456</v>
      </c>
    </row>
    <row r="3769" spans="1:16" ht="14.4" x14ac:dyDescent="0.3">
      <c r="A3769">
        <v>526506</v>
      </c>
      <c r="B3769" t="str">
        <f t="shared" si="116"/>
        <v>SEVROLL 06269 Elegant II tor dolny 1,7 m czarny lakier strukturalny</v>
      </c>
      <c r="C3769" s="185">
        <f t="shared" si="117"/>
        <v>37.315300000000001</v>
      </c>
      <c r="D3769" t="s">
        <v>6595</v>
      </c>
      <c r="E3769" t="s">
        <v>6640</v>
      </c>
      <c r="F3769" t="s">
        <v>6641</v>
      </c>
      <c r="G3769" t="s">
        <v>6642</v>
      </c>
      <c r="H3769" s="460">
        <v>301.80291999999997</v>
      </c>
      <c r="I3769" s="460">
        <v>10.851419999999999</v>
      </c>
      <c r="J3769" s="460">
        <v>37.315300000000001</v>
      </c>
      <c r="K3769" s="460">
        <v>4176.5579900000002</v>
      </c>
      <c r="L3769" s="459" t="s">
        <v>539</v>
      </c>
      <c r="O3769">
        <v>10.07389</v>
      </c>
      <c r="P3769" t="s">
        <v>10436</v>
      </c>
    </row>
    <row r="3770" spans="1:16" ht="14.4" x14ac:dyDescent="0.3">
      <c r="A3770">
        <v>526509</v>
      </c>
      <c r="B3770" t="str">
        <f t="shared" si="116"/>
        <v>SEVROLL 06270 Elegant II tor dolny 2,35 m czarny lakier strukturalny</v>
      </c>
      <c r="C3770" s="185">
        <f t="shared" si="117"/>
        <v>51.274979999999999</v>
      </c>
      <c r="D3770" t="s">
        <v>6596</v>
      </c>
      <c r="E3770" t="s">
        <v>6643</v>
      </c>
      <c r="F3770" t="s">
        <v>6644</v>
      </c>
      <c r="G3770" t="s">
        <v>6645</v>
      </c>
      <c r="H3770" s="460">
        <v>414.70758000000001</v>
      </c>
      <c r="I3770" s="460">
        <v>14.91095</v>
      </c>
      <c r="J3770" s="460">
        <v>51.274979999999999</v>
      </c>
      <c r="K3770" s="460">
        <v>5739.01116</v>
      </c>
      <c r="L3770" s="459" t="s">
        <v>539</v>
      </c>
      <c r="O3770">
        <v>13.84253</v>
      </c>
      <c r="P3770" t="s">
        <v>10437</v>
      </c>
    </row>
    <row r="3771" spans="1:16" ht="14.4" x14ac:dyDescent="0.3">
      <c r="A3771">
        <v>526510</v>
      </c>
      <c r="B3771" t="str">
        <f t="shared" si="116"/>
        <v>SEVROLL 06271 Elegant II tor dolny 3 m czarny lakier strukturalny</v>
      </c>
      <c r="C3771" s="185">
        <f t="shared" si="117"/>
        <v>65.145169999999993</v>
      </c>
      <c r="D3771" t="s">
        <v>6597</v>
      </c>
      <c r="E3771" t="s">
        <v>6646</v>
      </c>
      <c r="F3771" t="s">
        <v>6647</v>
      </c>
      <c r="G3771" t="s">
        <v>6648</v>
      </c>
      <c r="H3771" s="460">
        <v>526.88854000000003</v>
      </c>
      <c r="I3771" s="460">
        <v>18.94445</v>
      </c>
      <c r="J3771" s="460">
        <v>65.145169999999993</v>
      </c>
      <c r="K3771" s="460">
        <v>7291.4487600000002</v>
      </c>
      <c r="L3771" s="459" t="s">
        <v>539</v>
      </c>
      <c r="O3771">
        <v>17.587019999999999</v>
      </c>
      <c r="P3771" t="s">
        <v>10438</v>
      </c>
    </row>
    <row r="3772" spans="1:16" ht="14.4" x14ac:dyDescent="0.3">
      <c r="A3772">
        <v>526511</v>
      </c>
      <c r="B3772" t="str">
        <f t="shared" si="116"/>
        <v>SEVROLL 06272 Elegant II tor dolny 4,05 m czarny lakier strukturalny</v>
      </c>
      <c r="C3772" s="185">
        <f t="shared" si="117"/>
        <v>88.232330000000005</v>
      </c>
      <c r="D3772" t="s">
        <v>6598</v>
      </c>
      <c r="E3772" t="s">
        <v>6649</v>
      </c>
      <c r="F3772" t="s">
        <v>6650</v>
      </c>
      <c r="G3772" t="s">
        <v>6651</v>
      </c>
      <c r="H3772" s="460">
        <v>713.61551999999995</v>
      </c>
      <c r="I3772" s="460">
        <v>25.658280000000001</v>
      </c>
      <c r="J3772" s="460">
        <v>88.232330000000005</v>
      </c>
      <c r="K3772" s="460">
        <v>9875.5060699999995</v>
      </c>
      <c r="L3772" s="459" t="s">
        <v>539</v>
      </c>
      <c r="O3772">
        <v>23.819790000000001</v>
      </c>
      <c r="P3772" t="s">
        <v>10439</v>
      </c>
    </row>
    <row r="3773" spans="1:16" ht="14.4" x14ac:dyDescent="0.3">
      <c r="A3773">
        <v>526512</v>
      </c>
      <c r="B3773" t="str">
        <f t="shared" si="116"/>
        <v>SEVROLL 06128 Elegant II tor dolny 6m czarny lakier strukturalny</v>
      </c>
      <c r="C3773" s="185">
        <f t="shared" si="117"/>
        <v>0</v>
      </c>
      <c r="D3773" t="s">
        <v>6599</v>
      </c>
      <c r="E3773" t="s">
        <v>6652</v>
      </c>
      <c r="F3773" t="s">
        <v>6653</v>
      </c>
      <c r="G3773" t="s">
        <v>6654</v>
      </c>
      <c r="H3773" s="460">
        <v>1054.50082</v>
      </c>
      <c r="I3773" s="460">
        <v>37.914929999999998</v>
      </c>
      <c r="J3773" s="460">
        <v>0</v>
      </c>
      <c r="K3773" s="460">
        <v>14592.91346</v>
      </c>
      <c r="L3773" s="459" t="s">
        <v>539</v>
      </c>
      <c r="O3773">
        <v>35.198210000000003</v>
      </c>
      <c r="P3773" t="s">
        <v>10440</v>
      </c>
    </row>
    <row r="3774" spans="1:16" ht="14.4" x14ac:dyDescent="0.3">
      <c r="A3774">
        <v>526516</v>
      </c>
      <c r="B3774" t="str">
        <f t="shared" si="116"/>
        <v>SEVROLL 06285 Gemini tor górny 1,7 m czarny lakier strukturalny</v>
      </c>
      <c r="C3774" s="185">
        <f t="shared" si="117"/>
        <v>63.265970000000003</v>
      </c>
      <c r="D3774" t="s">
        <v>6600</v>
      </c>
      <c r="E3774" t="s">
        <v>6655</v>
      </c>
      <c r="F3774" t="s">
        <v>6656</v>
      </c>
      <c r="G3774" t="s">
        <v>6657</v>
      </c>
      <c r="H3774" s="460">
        <v>511.68982999999997</v>
      </c>
      <c r="I3774" s="460">
        <v>18.39798</v>
      </c>
      <c r="J3774" s="460">
        <v>63.265970000000003</v>
      </c>
      <c r="K3774" s="460">
        <v>7081.1186600000001</v>
      </c>
      <c r="L3774" s="459" t="s">
        <v>539</v>
      </c>
      <c r="O3774">
        <v>17.079709999999999</v>
      </c>
      <c r="P3774" t="s">
        <v>10441</v>
      </c>
    </row>
    <row r="3775" spans="1:16" ht="14.4" x14ac:dyDescent="0.3">
      <c r="A3775">
        <v>526519</v>
      </c>
      <c r="B3775" t="str">
        <f t="shared" si="116"/>
        <v>SEVROLL 06286 Gemini tor górny 2,35 m czarny lakier strukturalny</v>
      </c>
      <c r="C3775" s="185">
        <f t="shared" si="117"/>
        <v>87.516450000000006</v>
      </c>
      <c r="D3775" t="s">
        <v>6601</v>
      </c>
      <c r="E3775" t="s">
        <v>6658</v>
      </c>
      <c r="F3775" t="s">
        <v>6659</v>
      </c>
      <c r="G3775" t="s">
        <v>6660</v>
      </c>
      <c r="H3775" s="460">
        <v>707.82552999999996</v>
      </c>
      <c r="I3775" s="460">
        <v>25.450099999999999</v>
      </c>
      <c r="J3775" s="460">
        <v>87.516450000000006</v>
      </c>
      <c r="K3775" s="460">
        <v>9795.3803599999992</v>
      </c>
      <c r="L3775" s="459" t="s">
        <v>539</v>
      </c>
      <c r="O3775">
        <v>23.626519999999999</v>
      </c>
      <c r="P3775" t="s">
        <v>10442</v>
      </c>
    </row>
    <row r="3776" spans="1:16" ht="14.4" x14ac:dyDescent="0.3">
      <c r="A3776">
        <v>526520</v>
      </c>
      <c r="B3776" t="str">
        <f t="shared" si="116"/>
        <v>SEVROLL 06287 Gemini tor górny 3 m czarny lakier strukturalny</v>
      </c>
      <c r="C3776" s="185">
        <f t="shared" si="117"/>
        <v>111.67742</v>
      </c>
      <c r="D3776" t="s">
        <v>6602</v>
      </c>
      <c r="E3776" t="s">
        <v>6661</v>
      </c>
      <c r="F3776" t="s">
        <v>6662</v>
      </c>
      <c r="G3776" t="s">
        <v>6663</v>
      </c>
      <c r="H3776" s="460">
        <v>903.23748000000001</v>
      </c>
      <c r="I3776" s="460">
        <v>32.476199999999999</v>
      </c>
      <c r="J3776" s="460">
        <v>111.67742</v>
      </c>
      <c r="K3776" s="460">
        <v>12499.626490000001</v>
      </c>
      <c r="L3776" s="459" t="s">
        <v>539</v>
      </c>
      <c r="O3776">
        <v>30.149180000000001</v>
      </c>
      <c r="P3776" t="s">
        <v>10443</v>
      </c>
    </row>
    <row r="3777" spans="1:16" ht="14.4" x14ac:dyDescent="0.3">
      <c r="A3777">
        <v>526521</v>
      </c>
      <c r="B3777" t="str">
        <f t="shared" si="116"/>
        <v>SEVROLL 06288 Gemini tor górny 4,05 m czarny lakier strukturalny</v>
      </c>
      <c r="C3777" s="185">
        <f t="shared" si="117"/>
        <v>150.78242</v>
      </c>
      <c r="D3777" t="s">
        <v>6603</v>
      </c>
      <c r="E3777" t="s">
        <v>6664</v>
      </c>
      <c r="F3777" t="s">
        <v>6665</v>
      </c>
      <c r="G3777" t="s">
        <v>6666</v>
      </c>
      <c r="H3777" s="460">
        <v>1219.5153600000001</v>
      </c>
      <c r="I3777" s="460">
        <v>43.848080000000003</v>
      </c>
      <c r="J3777" s="460">
        <v>150.78242</v>
      </c>
      <c r="K3777" s="460">
        <v>16876.499019999999</v>
      </c>
      <c r="L3777" s="459" t="s">
        <v>539</v>
      </c>
      <c r="O3777">
        <v>40.706229999999998</v>
      </c>
      <c r="P3777" t="s">
        <v>10444</v>
      </c>
    </row>
    <row r="3778" spans="1:16" ht="14.4" x14ac:dyDescent="0.3">
      <c r="A3778">
        <v>526522</v>
      </c>
      <c r="B3778" t="str">
        <f t="shared" si="116"/>
        <v>SEVROLL 06154 Gemini tor górny 6m czarny lakier strukturalny</v>
      </c>
      <c r="C3778" s="185">
        <f t="shared" si="117"/>
        <v>0</v>
      </c>
      <c r="D3778" t="s">
        <v>6604</v>
      </c>
      <c r="E3778" t="s">
        <v>6667</v>
      </c>
      <c r="F3778" t="s">
        <v>6668</v>
      </c>
      <c r="G3778" t="s">
        <v>6669</v>
      </c>
      <c r="H3778" s="460">
        <v>1806.47497</v>
      </c>
      <c r="I3778" s="460">
        <v>64.95241</v>
      </c>
      <c r="J3778" s="460">
        <v>0</v>
      </c>
      <c r="K3778" s="460">
        <v>24999.252980000001</v>
      </c>
      <c r="L3778" s="459" t="s">
        <v>539</v>
      </c>
      <c r="O3778">
        <v>60.298369999999998</v>
      </c>
      <c r="P3778" t="s">
        <v>10445</v>
      </c>
    </row>
    <row r="3779" spans="1:16" ht="14.4" x14ac:dyDescent="0.3">
      <c r="A3779">
        <v>526524</v>
      </c>
      <c r="B3779" t="str">
        <f t="shared" si="116"/>
        <v>SEVROLL 06301 zaślepka do toru Elegant II 1,7m czarny lakier strukturalny</v>
      </c>
      <c r="C3779" s="185">
        <f t="shared" si="117"/>
        <v>11.454090000000001</v>
      </c>
      <c r="D3779" t="s">
        <v>6605</v>
      </c>
      <c r="E3779" t="s">
        <v>6670</v>
      </c>
      <c r="F3779" t="s">
        <v>6671</v>
      </c>
      <c r="G3779" t="s">
        <v>6672</v>
      </c>
      <c r="H3779" s="460">
        <v>92.639750000000006</v>
      </c>
      <c r="I3779" s="460">
        <v>3.3308900000000001</v>
      </c>
      <c r="J3779" s="460">
        <v>11.454090000000001</v>
      </c>
      <c r="K3779" s="460">
        <v>1282.0129099999999</v>
      </c>
      <c r="L3779" s="459" t="s">
        <v>539</v>
      </c>
      <c r="O3779">
        <v>3.0922200000000002</v>
      </c>
      <c r="P3779" t="s">
        <v>10446</v>
      </c>
    </row>
    <row r="3780" spans="1:16" ht="14.4" x14ac:dyDescent="0.3">
      <c r="A3780">
        <v>526525</v>
      </c>
      <c r="B3780" t="str">
        <f>IF($A$2=1,D3780,IF($A$2=2,F3780,IF($A$2=3,G3780,IF($A$2=4,E3780,IF($A$2&gt;4,P3780,"zadat jazyk")))))</f>
        <v>SEVROLL 06302 zaślepka do toru Elegant II 2,35m czarny lakier strukturalny</v>
      </c>
      <c r="C3780" s="185">
        <f>IF($A$2=1,H3780,IF($A$2=2,I3780,IF($A$2=3,J3780,IF($A$2=4,K3780,IF($A$2&gt;4,O3780,"zadat jazyk")))))</f>
        <v>15.83888</v>
      </c>
      <c r="D3780" t="s">
        <v>6606</v>
      </c>
      <c r="E3780" t="s">
        <v>6673</v>
      </c>
      <c r="F3780" t="s">
        <v>6674</v>
      </c>
      <c r="G3780" t="s">
        <v>6675</v>
      </c>
      <c r="H3780" s="460">
        <v>128.10339999999999</v>
      </c>
      <c r="I3780" s="460">
        <v>4.6059999999999999</v>
      </c>
      <c r="J3780" s="460">
        <v>15.83888</v>
      </c>
      <c r="K3780" s="460">
        <v>1772.7836600000001</v>
      </c>
      <c r="L3780" s="459" t="s">
        <v>539</v>
      </c>
      <c r="O3780">
        <v>4.27597</v>
      </c>
      <c r="P3780" t="s">
        <v>10447</v>
      </c>
    </row>
    <row r="3781" spans="1:16" ht="14.4" x14ac:dyDescent="0.3">
      <c r="A3781">
        <v>526526</v>
      </c>
      <c r="B3781" t="str">
        <f>IF($A$2=1,D3781,IF($A$2=2,F3781,IF($A$2=3,G3781,IF($A$2=4,E3781,IF($A$2&gt;4,P3781,"zadat jazyk")))))</f>
        <v>SEVROLL 06303 maskownica do toru Elegant II 3m czarny lakier strukturalny</v>
      </c>
      <c r="C3781" s="185">
        <f>IF($A$2=1,H3781,IF($A$2=2,I3781,IF($A$2=3,J3781,IF($A$2=4,K3781,IF($A$2&gt;4,O3781,"zadat jazyk")))))</f>
        <v>20.22364</v>
      </c>
      <c r="D3781" t="s">
        <v>6607</v>
      </c>
      <c r="E3781" t="s">
        <v>6676</v>
      </c>
      <c r="F3781" t="s">
        <v>6677</v>
      </c>
      <c r="G3781" t="s">
        <v>6678</v>
      </c>
      <c r="H3781" s="460">
        <v>163.56704999999999</v>
      </c>
      <c r="I3781" s="460">
        <v>5.8811099999999996</v>
      </c>
      <c r="J3781" s="460">
        <v>20.22364</v>
      </c>
      <c r="K3781" s="460">
        <v>2263.5540099999998</v>
      </c>
      <c r="L3781" s="459" t="s">
        <v>539</v>
      </c>
      <c r="O3781">
        <v>5.4597100000000003</v>
      </c>
      <c r="P3781" t="s">
        <v>10448</v>
      </c>
    </row>
    <row r="3782" spans="1:16" ht="14.4" x14ac:dyDescent="0.3">
      <c r="A3782">
        <v>526527</v>
      </c>
      <c r="B3782" t="str">
        <f>IF($A$2=1,D3782,IF($A$2=2,F3782,IF($A$2=3,G3782,IF($A$2=4,E3782,IF($A$2&gt;4,P3782,"zadat jazyk")))))</f>
        <v>SEVROLL 06304 zaślepka do toru Elegant II 4,05m czarny lakier strukturalny</v>
      </c>
      <c r="C3782" s="185">
        <f>IF($A$2=1,H3782,IF($A$2=2,I3782,IF($A$2=3,J3782,IF($A$2=4,K3782,IF($A$2&gt;4,O3782,"zadat jazyk")))))</f>
        <v>27.29297</v>
      </c>
      <c r="D3782" t="s">
        <v>6608</v>
      </c>
      <c r="E3782" t="s">
        <v>6679</v>
      </c>
      <c r="F3782" t="s">
        <v>6680</v>
      </c>
      <c r="G3782" t="s">
        <v>6681</v>
      </c>
      <c r="H3782" s="460">
        <v>220.74315000000001</v>
      </c>
      <c r="I3782" s="460">
        <v>7.93689</v>
      </c>
      <c r="J3782" s="460">
        <v>27.29297</v>
      </c>
      <c r="K3782" s="460">
        <v>3054.79655</v>
      </c>
      <c r="L3782" s="459" t="s">
        <v>539</v>
      </c>
      <c r="O3782">
        <v>7.3681900000000002</v>
      </c>
      <c r="P3782" t="s">
        <v>10449</v>
      </c>
    </row>
    <row r="3783" spans="1:16" ht="14.4" x14ac:dyDescent="0.3">
      <c r="A3783">
        <v>526528</v>
      </c>
      <c r="B3783" t="str">
        <f>IF($A$2=1,D3783,IF($A$2=2,F3783,IF($A$2=3,G3783,IF($A$2=4,E3783,IF($A$2&gt;4,P3783,"zadat jazyk")))))</f>
        <v>SEVROLL 06157 maskownica do toru Elegant II 6m czarny lakier strukturalny</v>
      </c>
      <c r="C3783" s="185">
        <f>IF($A$2=1,H3783,IF($A$2=2,I3783,IF($A$2=3,J3783,IF($A$2=4,K3783,IF($A$2&gt;4,O3783,"zadat jazyk")))))</f>
        <v>0</v>
      </c>
      <c r="D3783" t="s">
        <v>6609</v>
      </c>
      <c r="E3783" t="s">
        <v>6682</v>
      </c>
      <c r="F3783" t="s">
        <v>6683</v>
      </c>
      <c r="G3783" t="s">
        <v>6684</v>
      </c>
      <c r="H3783" s="460">
        <v>327.13407999999998</v>
      </c>
      <c r="I3783" s="460">
        <v>11.762219999999999</v>
      </c>
      <c r="J3783" s="460">
        <v>0</v>
      </c>
      <c r="K3783" s="460">
        <v>4527.1084300000002</v>
      </c>
      <c r="L3783" s="459" t="s">
        <v>539</v>
      </c>
      <c r="O3783">
        <v>10.919420000000001</v>
      </c>
      <c r="P3783" t="s">
        <v>10450</v>
      </c>
    </row>
    <row r="3784" spans="1:16" ht="14.4" x14ac:dyDescent="0.3">
      <c r="A3784" s="196">
        <v>542633</v>
      </c>
      <c r="B3784" t="str">
        <f t="shared" ref="B3784:B3818" si="118">IF($A$2=1,D3784,IF($A$2=2,F3784,IF($A$2=3,G3784,IF($A$2=4,E3784,IF($A$2&gt;4,P3784,"zadat jazyk")))))</f>
        <v>SEVROLL 06809 Gemini tor górny 6m złoty/mosiądz</v>
      </c>
      <c r="C3784" s="185">
        <f t="shared" ref="C3784:C3818" si="119">IF($A$2=1,H3784,IF($A$2=2,I3784,IF($A$2=3,J3784,IF($A$2=4,K3784,IF($A$2&gt;4,O3784,"zadat jazyk")))))</f>
        <v>0</v>
      </c>
      <c r="D3784" t="s">
        <v>11234</v>
      </c>
      <c r="E3784" t="s">
        <v>11268</v>
      </c>
      <c r="F3784" t="s">
        <v>11269</v>
      </c>
      <c r="G3784" t="s">
        <v>11270</v>
      </c>
      <c r="H3784" s="460">
        <v>1722.66022</v>
      </c>
      <c r="I3784" s="460">
        <v>64.95241</v>
      </c>
      <c r="J3784" s="460">
        <v>0</v>
      </c>
      <c r="K3784" s="460">
        <v>24999.252980000001</v>
      </c>
      <c r="L3784" s="459" t="s">
        <v>539</v>
      </c>
      <c r="P3784" t="s">
        <v>11367</v>
      </c>
    </row>
    <row r="3785" spans="1:16" ht="14.4" x14ac:dyDescent="0.3">
      <c r="A3785" s="196">
        <v>542574</v>
      </c>
      <c r="B3785" t="str">
        <f t="shared" si="118"/>
        <v>SEVROLL 06816 Alfa II rączka 16/18 mm 2,70 m złota/mosiądz</v>
      </c>
      <c r="C3785" s="185">
        <f t="shared" si="119"/>
        <v>54.453029999999998</v>
      </c>
      <c r="D3785" t="s">
        <v>11235</v>
      </c>
      <c r="E3785" t="s">
        <v>11271</v>
      </c>
      <c r="F3785" t="s">
        <v>11272</v>
      </c>
      <c r="G3785" t="s">
        <v>11273</v>
      </c>
      <c r="H3785" s="460">
        <v>442.9332</v>
      </c>
      <c r="I3785" s="460">
        <v>15.925829999999999</v>
      </c>
      <c r="J3785" s="460">
        <v>54.453029999999998</v>
      </c>
      <c r="K3785" s="460">
        <v>6129.62464</v>
      </c>
      <c r="L3785" s="459" t="s">
        <v>538</v>
      </c>
      <c r="P3785" t="s">
        <v>11368</v>
      </c>
    </row>
    <row r="3786" spans="1:16" ht="14.4" x14ac:dyDescent="0.3">
      <c r="A3786" s="196">
        <v>542673</v>
      </c>
      <c r="B3786" t="str">
        <f t="shared" si="118"/>
        <v>SEVROLL 06817 Focus II 16 mm rączka 2,7 m, złota/mosiądz</v>
      </c>
      <c r="C3786" s="185">
        <f t="shared" si="119"/>
        <v>36.302030000000002</v>
      </c>
      <c r="D3786" t="s">
        <v>11236</v>
      </c>
      <c r="E3786" t="s">
        <v>11274</v>
      </c>
      <c r="F3786" t="s">
        <v>11275</v>
      </c>
      <c r="G3786" t="s">
        <v>11276</v>
      </c>
      <c r="H3786" s="460">
        <v>295.28881000000001</v>
      </c>
      <c r="I3786" s="460">
        <v>10.61722</v>
      </c>
      <c r="J3786" s="460">
        <v>36.302030000000002</v>
      </c>
      <c r="K3786" s="460">
        <v>4086.4163100000001</v>
      </c>
      <c r="L3786" s="459" t="s">
        <v>539</v>
      </c>
      <c r="P3786" t="s">
        <v>11369</v>
      </c>
    </row>
    <row r="3787" spans="1:16" ht="14.4" x14ac:dyDescent="0.3">
      <c r="A3787" s="196">
        <v>542589</v>
      </c>
      <c r="B3787" t="str">
        <f t="shared" si="118"/>
        <v>SEVROLL 06818 Focus II 18 mm rączka 2,7 m, złota/mosiądz</v>
      </c>
      <c r="C3787" s="185">
        <f t="shared" si="119"/>
        <v>36.302030000000002</v>
      </c>
      <c r="D3787" t="s">
        <v>11237</v>
      </c>
      <c r="E3787" t="s">
        <v>11277</v>
      </c>
      <c r="F3787" t="s">
        <v>11278</v>
      </c>
      <c r="G3787" t="s">
        <v>11279</v>
      </c>
      <c r="H3787" s="460">
        <v>295.28881000000001</v>
      </c>
      <c r="I3787" s="460">
        <v>10.61722</v>
      </c>
      <c r="J3787" s="460">
        <v>36.302030000000002</v>
      </c>
      <c r="K3787" s="460">
        <v>4086.4163100000001</v>
      </c>
      <c r="L3787" s="459" t="s">
        <v>538</v>
      </c>
      <c r="P3787" t="s">
        <v>11370</v>
      </c>
    </row>
    <row r="3788" spans="1:16" ht="14.4" x14ac:dyDescent="0.3">
      <c r="A3788" s="196">
        <v>542674</v>
      </c>
      <c r="B3788" t="str">
        <f t="shared" si="118"/>
        <v>SEVROLL 06800 zaślepka do toru Elegant II 1,7m złoty/mosiądz</v>
      </c>
      <c r="C3788" s="185">
        <f t="shared" si="119"/>
        <v>10.944000000000001</v>
      </c>
      <c r="D3788" t="s">
        <v>11238</v>
      </c>
      <c r="E3788" t="s">
        <v>11280</v>
      </c>
      <c r="F3788" t="s">
        <v>11281</v>
      </c>
      <c r="G3788" t="s">
        <v>11282</v>
      </c>
      <c r="H3788" s="460">
        <v>89.020889999999994</v>
      </c>
      <c r="I3788" s="460">
        <v>3.20078</v>
      </c>
      <c r="J3788" s="460">
        <v>10.944000000000001</v>
      </c>
      <c r="K3788" s="460">
        <v>1231.93427</v>
      </c>
      <c r="L3788" s="459" t="s">
        <v>539</v>
      </c>
      <c r="P3788" t="s">
        <v>11371</v>
      </c>
    </row>
    <row r="3789" spans="1:16" ht="14.4" x14ac:dyDescent="0.3">
      <c r="A3789" s="196">
        <v>542675</v>
      </c>
      <c r="B3789" t="str">
        <f t="shared" si="118"/>
        <v>SEVROLL 06801 zaślepka do toru Elegant II 2,35m złoty/mosiądz</v>
      </c>
      <c r="C3789" s="185">
        <f t="shared" si="119"/>
        <v>15.12584</v>
      </c>
      <c r="D3789" t="s">
        <v>11239</v>
      </c>
      <c r="E3789" t="s">
        <v>11283</v>
      </c>
      <c r="F3789" t="s">
        <v>11284</v>
      </c>
      <c r="G3789" t="s">
        <v>11285</v>
      </c>
      <c r="H3789" s="460">
        <v>123.03700000000001</v>
      </c>
      <c r="I3789" s="460">
        <v>4.4238400000000002</v>
      </c>
      <c r="J3789" s="460">
        <v>15.12584</v>
      </c>
      <c r="K3789" s="460">
        <v>1702.6734799999999</v>
      </c>
      <c r="L3789" s="459" t="s">
        <v>539</v>
      </c>
      <c r="P3789" t="s">
        <v>11372</v>
      </c>
    </row>
    <row r="3790" spans="1:16" ht="14.4" x14ac:dyDescent="0.3">
      <c r="A3790" s="196">
        <v>542584</v>
      </c>
      <c r="B3790" t="str">
        <f t="shared" si="118"/>
        <v>SEVROLL 06802 profil maskujący do toru Elegant II 3m złoty/mosiądz</v>
      </c>
      <c r="C3790" s="185">
        <f t="shared" si="119"/>
        <v>19.396660000000001</v>
      </c>
      <c r="D3790" t="s">
        <v>11240</v>
      </c>
      <c r="E3790" t="s">
        <v>11286</v>
      </c>
      <c r="F3790" t="s">
        <v>11287</v>
      </c>
      <c r="G3790" t="s">
        <v>11288</v>
      </c>
      <c r="H3790" s="460">
        <v>157.77687</v>
      </c>
      <c r="I3790" s="460">
        <v>5.67293</v>
      </c>
      <c r="J3790" s="460">
        <v>19.396660000000001</v>
      </c>
      <c r="K3790" s="460">
        <v>2183.4282699999999</v>
      </c>
      <c r="L3790" s="459" t="s">
        <v>538</v>
      </c>
      <c r="P3790" t="s">
        <v>11373</v>
      </c>
    </row>
    <row r="3791" spans="1:16" ht="14.4" x14ac:dyDescent="0.3">
      <c r="A3791" s="196">
        <v>542590</v>
      </c>
      <c r="B3791" t="str">
        <f t="shared" si="118"/>
        <v>SEVROLL 04311 profil maskujący do toru Elegant II 4,05m złoty/mosiądz</v>
      </c>
      <c r="C3791" s="185">
        <f t="shared" si="119"/>
        <v>26.158799999999999</v>
      </c>
      <c r="D3791" t="s">
        <v>11241</v>
      </c>
      <c r="E3791" t="s">
        <v>11289</v>
      </c>
      <c r="F3791" t="s">
        <v>11290</v>
      </c>
      <c r="G3791" t="s">
        <v>11291</v>
      </c>
      <c r="H3791" s="460">
        <v>212.78163000000001</v>
      </c>
      <c r="I3791" s="460">
        <v>7.6506400000000001</v>
      </c>
      <c r="J3791" s="460">
        <v>26.158799999999999</v>
      </c>
      <c r="K3791" s="460">
        <v>2944.62372</v>
      </c>
      <c r="L3791" s="459" t="s">
        <v>538</v>
      </c>
      <c r="P3791" t="s">
        <v>11374</v>
      </c>
    </row>
    <row r="3792" spans="1:16" ht="14.4" x14ac:dyDescent="0.3">
      <c r="A3792" s="196">
        <v>542676</v>
      </c>
      <c r="B3792" t="str">
        <f t="shared" si="118"/>
        <v>SEVROLL 06804 zaślepka do toru Elegant II 6m złoty/mosiądz</v>
      </c>
      <c r="C3792" s="185">
        <f t="shared" si="119"/>
        <v>0</v>
      </c>
      <c r="D3792" t="s">
        <v>11242</v>
      </c>
      <c r="E3792" t="s">
        <v>11292</v>
      </c>
      <c r="F3792" t="s">
        <v>11293</v>
      </c>
      <c r="G3792" t="s">
        <v>11294</v>
      </c>
      <c r="H3792" s="460">
        <v>314.82997</v>
      </c>
      <c r="I3792" s="460">
        <v>11.31983</v>
      </c>
      <c r="J3792" s="460">
        <v>0</v>
      </c>
      <c r="K3792" s="460">
        <v>4356.8409799999999</v>
      </c>
      <c r="L3792" s="459" t="s">
        <v>539</v>
      </c>
      <c r="P3792" t="s">
        <v>11375</v>
      </c>
    </row>
    <row r="3793" spans="1:16" ht="14.4" x14ac:dyDescent="0.3">
      <c r="A3793" s="196">
        <v>542688</v>
      </c>
      <c r="B3793" t="str">
        <f t="shared" si="118"/>
        <v>SEVROLL 06799 Elegant II tor dolny 6m złoty/mosiądz</v>
      </c>
      <c r="C3793" s="185">
        <f t="shared" si="119"/>
        <v>0</v>
      </c>
      <c r="D3793" t="s">
        <v>11243</v>
      </c>
      <c r="E3793" t="s">
        <v>11295</v>
      </c>
      <c r="F3793" t="s">
        <v>11296</v>
      </c>
      <c r="G3793" t="s">
        <v>11297</v>
      </c>
      <c r="H3793" s="460">
        <v>1020.4833599999999</v>
      </c>
      <c r="I3793" s="460">
        <v>36.691870000000002</v>
      </c>
      <c r="J3793" s="460">
        <v>0</v>
      </c>
      <c r="K3793" s="460">
        <v>14122.17425</v>
      </c>
      <c r="L3793" s="459" t="s">
        <v>539</v>
      </c>
      <c r="P3793" t="s">
        <v>11376</v>
      </c>
    </row>
    <row r="3794" spans="1:16" ht="14.4" x14ac:dyDescent="0.3">
      <c r="A3794" s="196"/>
      <c r="B3794" t="e">
        <f t="shared" si="118"/>
        <v>#N/A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460" t="e">
        <v>#N/A</v>
      </c>
      <c r="I3794" s="460" t="e">
        <v>#N/A</v>
      </c>
      <c r="J3794" s="460" t="e">
        <v>#N/A</v>
      </c>
      <c r="K3794" s="460" t="e">
        <v>#N/A</v>
      </c>
      <c r="L3794" s="459" t="e">
        <v>#N/A</v>
      </c>
      <c r="P3794" t="e">
        <v>#N/A</v>
      </c>
    </row>
    <row r="3795" spans="1:16" ht="14.4" x14ac:dyDescent="0.3">
      <c r="A3795" s="196"/>
      <c r="B3795" t="e">
        <f t="shared" si="118"/>
        <v>#N/A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460" t="e">
        <v>#N/A</v>
      </c>
      <c r="I3795" s="460" t="e">
        <v>#N/A</v>
      </c>
      <c r="J3795" s="460" t="e">
        <v>#N/A</v>
      </c>
      <c r="K3795" s="460" t="e">
        <v>#N/A</v>
      </c>
      <c r="L3795" s="459" t="e">
        <v>#N/A</v>
      </c>
      <c r="P3795" t="e">
        <v>#N/A</v>
      </c>
    </row>
    <row r="3796" spans="1:16" ht="14.4" x14ac:dyDescent="0.3">
      <c r="A3796" s="196">
        <v>542698</v>
      </c>
      <c r="B3796" t="str">
        <f t="shared" si="118"/>
        <v>SEVROLL 06795 Elegant II tor dolny 1,7m złoty/mosiądz</v>
      </c>
      <c r="C3796" s="185">
        <f t="shared" si="119"/>
        <v>35.590209999999999</v>
      </c>
      <c r="D3796" t="s">
        <v>11245</v>
      </c>
      <c r="E3796" t="s">
        <v>11298</v>
      </c>
      <c r="F3796" t="s">
        <v>11299</v>
      </c>
      <c r="G3796" t="s">
        <v>11300</v>
      </c>
      <c r="H3796" s="460">
        <v>289.49883</v>
      </c>
      <c r="I3796" s="460">
        <v>10.409039999999999</v>
      </c>
      <c r="J3796" s="460">
        <v>35.590209999999999</v>
      </c>
      <c r="K3796" s="460">
        <v>4006.2905700000001</v>
      </c>
      <c r="L3796" s="459" t="s">
        <v>539</v>
      </c>
      <c r="P3796" t="s">
        <v>11377</v>
      </c>
    </row>
    <row r="3797" spans="1:16" ht="14.4" x14ac:dyDescent="0.3">
      <c r="A3797" s="196">
        <v>542700</v>
      </c>
      <c r="B3797" t="str">
        <f t="shared" si="118"/>
        <v>SEVROLL 06796 Elegant II tor dolny 2,35m złoty/mosiądz</v>
      </c>
      <c r="C3797" s="185">
        <f t="shared" si="119"/>
        <v>49.114510000000003</v>
      </c>
      <c r="D3797" t="s">
        <v>11246</v>
      </c>
      <c r="E3797" t="s">
        <v>11301</v>
      </c>
      <c r="F3797" t="s">
        <v>11302</v>
      </c>
      <c r="G3797" t="s">
        <v>11303</v>
      </c>
      <c r="H3797" s="460">
        <v>399.50837000000001</v>
      </c>
      <c r="I3797" s="460">
        <v>14.36448</v>
      </c>
      <c r="J3797" s="460">
        <v>49.114510000000003</v>
      </c>
      <c r="K3797" s="460">
        <v>5528.6810599999999</v>
      </c>
      <c r="L3797" s="459" t="s">
        <v>539</v>
      </c>
      <c r="P3797" t="s">
        <v>11378</v>
      </c>
    </row>
    <row r="3798" spans="1:16" ht="14.4" x14ac:dyDescent="0.3">
      <c r="A3798" s="196">
        <v>542591</v>
      </c>
      <c r="B3798" t="str">
        <f t="shared" si="118"/>
        <v>SEVROLL 06797 Elegant II tor dolny 3m złoty/mosiądz</v>
      </c>
      <c r="C3798" s="185">
        <f t="shared" si="119"/>
        <v>62.727760000000004</v>
      </c>
      <c r="D3798" t="s">
        <v>11247</v>
      </c>
      <c r="E3798" t="s">
        <v>11304</v>
      </c>
      <c r="F3798" t="s">
        <v>11305</v>
      </c>
      <c r="G3798" t="s">
        <v>11306</v>
      </c>
      <c r="H3798" s="460">
        <v>510.24167999999997</v>
      </c>
      <c r="I3798" s="460">
        <v>18.345929999999999</v>
      </c>
      <c r="J3798" s="460">
        <v>62.727760000000004</v>
      </c>
      <c r="K3798" s="460">
        <v>7061.0871100000004</v>
      </c>
      <c r="L3798" s="459" t="s">
        <v>538</v>
      </c>
      <c r="P3798" t="s">
        <v>11379</v>
      </c>
    </row>
    <row r="3799" spans="1:16" ht="14.4" x14ac:dyDescent="0.3">
      <c r="A3799" s="196">
        <v>542576</v>
      </c>
      <c r="B3799" t="str">
        <f t="shared" si="118"/>
        <v>SEVROLL 06798 Elegant II tor dolny 4,05m złoty/mosiądz</v>
      </c>
      <c r="C3799" s="185">
        <f t="shared" si="119"/>
        <v>84.704719999999995</v>
      </c>
      <c r="D3799" t="s">
        <v>11248</v>
      </c>
      <c r="E3799" t="s">
        <v>11307</v>
      </c>
      <c r="F3799" t="s">
        <v>11308</v>
      </c>
      <c r="G3799" t="s">
        <v>11309</v>
      </c>
      <c r="H3799" s="460">
        <v>689.00720000000001</v>
      </c>
      <c r="I3799" s="460">
        <v>24.773520000000001</v>
      </c>
      <c r="J3799" s="460">
        <v>84.704719999999995</v>
      </c>
      <c r="K3799" s="460">
        <v>9534.97163</v>
      </c>
      <c r="L3799" s="459" t="s">
        <v>538</v>
      </c>
      <c r="P3799" t="s">
        <v>11380</v>
      </c>
    </row>
    <row r="3800" spans="1:16" ht="14.4" x14ac:dyDescent="0.3">
      <c r="A3800" s="196">
        <v>542588</v>
      </c>
      <c r="B3800" t="str">
        <f t="shared" si="118"/>
        <v>SEVROLL 06794 spojovací lišta H18 3m zlatá/mosiądz</v>
      </c>
      <c r="C3800" s="185">
        <f t="shared" si="119"/>
        <v>51.249920000000003</v>
      </c>
      <c r="D3800" t="s">
        <v>11249</v>
      </c>
      <c r="E3800" t="s">
        <v>11310</v>
      </c>
      <c r="F3800" t="s">
        <v>11311</v>
      </c>
      <c r="G3800" t="s">
        <v>11312</v>
      </c>
      <c r="H3800" s="460">
        <v>416.87831999999997</v>
      </c>
      <c r="I3800" s="460">
        <v>14.98902</v>
      </c>
      <c r="J3800" s="460">
        <v>51.249920000000003</v>
      </c>
      <c r="K3800" s="460">
        <v>5769.0582599999998</v>
      </c>
      <c r="L3800" s="459" t="s">
        <v>538</v>
      </c>
      <c r="P3800" t="s">
        <v>11381</v>
      </c>
    </row>
    <row r="3801" spans="1:16" ht="14.4" x14ac:dyDescent="0.3">
      <c r="A3801" s="196">
        <v>542704</v>
      </c>
      <c r="B3801" t="str">
        <f t="shared" si="118"/>
        <v>SEVROLL 06805 Gemini tor górny 1,7m złoty/mosiądz</v>
      </c>
      <c r="C3801" s="185">
        <f t="shared" si="119"/>
        <v>60.503369999999997</v>
      </c>
      <c r="D3801" t="s">
        <v>11250</v>
      </c>
      <c r="E3801" t="s">
        <v>11313</v>
      </c>
      <c r="F3801" t="s">
        <v>11314</v>
      </c>
      <c r="G3801" t="s">
        <v>11315</v>
      </c>
      <c r="H3801" s="460">
        <v>492.14800000000002</v>
      </c>
      <c r="I3801" s="460">
        <v>17.69537</v>
      </c>
      <c r="J3801" s="460">
        <v>60.503369999999997</v>
      </c>
      <c r="K3801" s="460">
        <v>6810.6939700000003</v>
      </c>
      <c r="L3801" s="459" t="s">
        <v>539</v>
      </c>
      <c r="P3801" t="s">
        <v>11382</v>
      </c>
    </row>
    <row r="3802" spans="1:16" ht="14.4" x14ac:dyDescent="0.3">
      <c r="A3802" s="196">
        <v>542705</v>
      </c>
      <c r="B3802" t="str">
        <f t="shared" si="118"/>
        <v>SEVROLL 06806 Gemini horní vedení 2,35m zlatá/mosiądz</v>
      </c>
      <c r="C3802" s="185">
        <f t="shared" si="119"/>
        <v>83.637010000000004</v>
      </c>
      <c r="D3802" t="s">
        <v>11251</v>
      </c>
      <c r="E3802" t="s">
        <v>11316</v>
      </c>
      <c r="F3802" t="s">
        <v>11317</v>
      </c>
      <c r="G3802" t="s">
        <v>11318</v>
      </c>
      <c r="H3802" s="460">
        <v>680.32223999999997</v>
      </c>
      <c r="I3802" s="460">
        <v>24.46124</v>
      </c>
      <c r="J3802" s="460">
        <v>83.637010000000004</v>
      </c>
      <c r="K3802" s="460">
        <v>9414.7828399999999</v>
      </c>
      <c r="L3802" s="459" t="s">
        <v>539</v>
      </c>
      <c r="P3802" t="s">
        <v>11383</v>
      </c>
    </row>
    <row r="3803" spans="1:16" ht="14.4" x14ac:dyDescent="0.3">
      <c r="A3803" s="196">
        <v>542583</v>
      </c>
      <c r="B3803" t="str">
        <f t="shared" si="118"/>
        <v>SEVROLL 06807 Gemini horní vedení 3m złoty/mosiądz</v>
      </c>
      <c r="C3803" s="185">
        <f t="shared" si="119"/>
        <v>111.28565999999999</v>
      </c>
      <c r="D3803" t="s">
        <v>11252</v>
      </c>
      <c r="E3803" t="s">
        <v>11319</v>
      </c>
      <c r="F3803" t="s">
        <v>11320</v>
      </c>
      <c r="G3803" t="s">
        <v>11321</v>
      </c>
      <c r="H3803" s="460">
        <v>861.33011999999997</v>
      </c>
      <c r="I3803" s="460">
        <v>32.476199999999999</v>
      </c>
      <c r="J3803" s="460">
        <v>111.28565999999999</v>
      </c>
      <c r="K3803" s="460">
        <v>12499.626490000001</v>
      </c>
      <c r="L3803" s="459" t="s">
        <v>538</v>
      </c>
      <c r="P3803" t="s">
        <v>11384</v>
      </c>
    </row>
    <row r="3804" spans="1:16" ht="14.4" x14ac:dyDescent="0.3">
      <c r="A3804" s="196">
        <v>542592</v>
      </c>
      <c r="B3804" t="str">
        <f t="shared" si="118"/>
        <v>SEVROLL 06808 Gemini horní vedení 4,05m zlatá/mosiądz</v>
      </c>
      <c r="C3804" s="185">
        <f t="shared" si="119"/>
        <v>144.45733999999999</v>
      </c>
      <c r="D3804" t="s">
        <v>11253</v>
      </c>
      <c r="E3804" t="s">
        <v>11322</v>
      </c>
      <c r="F3804" t="s">
        <v>11323</v>
      </c>
      <c r="G3804" t="s">
        <v>11324</v>
      </c>
      <c r="H3804" s="460">
        <v>1118.0727400000001</v>
      </c>
      <c r="I3804" s="460">
        <v>42.156610000000001</v>
      </c>
      <c r="J3804" s="460">
        <v>144.45733999999999</v>
      </c>
      <c r="K3804" s="460">
        <v>16876.499019999999</v>
      </c>
      <c r="L3804" s="459" t="s">
        <v>538</v>
      </c>
      <c r="P3804" t="s">
        <v>11385</v>
      </c>
    </row>
    <row r="3805" spans="1:16" ht="14.4" x14ac:dyDescent="0.3">
      <c r="A3805" s="196">
        <v>542706</v>
      </c>
      <c r="B3805" t="str">
        <f t="shared" si="118"/>
        <v>SEVROLL 06790 kątownik Mini 17x11mm 1,7m złoty/mosiądz</v>
      </c>
      <c r="C3805" s="185">
        <f t="shared" si="119"/>
        <v>10.49912</v>
      </c>
      <c r="D3805" t="s">
        <v>11254</v>
      </c>
      <c r="E3805" t="s">
        <v>11325</v>
      </c>
      <c r="F3805" t="s">
        <v>11326</v>
      </c>
      <c r="G3805" t="s">
        <v>11327</v>
      </c>
      <c r="H3805" s="460">
        <v>85.402159999999995</v>
      </c>
      <c r="I3805" s="460">
        <v>3.0706699999999998</v>
      </c>
      <c r="J3805" s="460">
        <v>10.49912</v>
      </c>
      <c r="K3805" s="460">
        <v>1181.85564</v>
      </c>
      <c r="L3805" s="459" t="s">
        <v>539</v>
      </c>
      <c r="P3805" t="s">
        <v>11386</v>
      </c>
    </row>
    <row r="3806" spans="1:16" ht="14.4" x14ac:dyDescent="0.3">
      <c r="A3806" s="196">
        <v>542764</v>
      </c>
      <c r="B3806" t="str">
        <f t="shared" si="118"/>
        <v>SEVROLL 06791 kątownik Mini 17x11mm 2,35m złoty/mosiądz</v>
      </c>
      <c r="C3806" s="185">
        <f t="shared" si="119"/>
        <v>14.503</v>
      </c>
      <c r="D3806" t="s">
        <v>11255</v>
      </c>
      <c r="E3806" t="s">
        <v>11328</v>
      </c>
      <c r="F3806" t="s">
        <v>11329</v>
      </c>
      <c r="G3806" t="s">
        <v>11330</v>
      </c>
      <c r="H3806" s="460">
        <v>117.97078</v>
      </c>
      <c r="I3806" s="460">
        <v>4.2416799999999997</v>
      </c>
      <c r="J3806" s="460">
        <v>14.503</v>
      </c>
      <c r="K3806" s="460">
        <v>1632.56332</v>
      </c>
      <c r="L3806" s="459" t="s">
        <v>539</v>
      </c>
      <c r="P3806" t="s">
        <v>11387</v>
      </c>
    </row>
    <row r="3807" spans="1:16" ht="14.4" x14ac:dyDescent="0.3">
      <c r="A3807" s="196">
        <v>542863</v>
      </c>
      <c r="B3807" t="str">
        <f t="shared" si="118"/>
        <v>SEVROLL 06792 kątownik Mini 17x11mm 3m złoty/mosiądz</v>
      </c>
      <c r="C3807" s="185">
        <f t="shared" si="119"/>
        <v>18.417940000000002</v>
      </c>
      <c r="D3807" t="s">
        <v>11256</v>
      </c>
      <c r="E3807" t="s">
        <v>11331</v>
      </c>
      <c r="F3807" t="s">
        <v>11332</v>
      </c>
      <c r="G3807" t="s">
        <v>11333</v>
      </c>
      <c r="H3807" s="460">
        <v>149.81564</v>
      </c>
      <c r="I3807" s="460">
        <v>5.3866800000000001</v>
      </c>
      <c r="J3807" s="460">
        <v>18.417940000000002</v>
      </c>
      <c r="K3807" s="460">
        <v>2073.2554399999999</v>
      </c>
      <c r="L3807" s="459" t="s">
        <v>539</v>
      </c>
      <c r="P3807" t="s">
        <v>11388</v>
      </c>
    </row>
    <row r="3808" spans="1:16" ht="14.4" x14ac:dyDescent="0.3">
      <c r="A3808" s="196">
        <v>542864</v>
      </c>
      <c r="B3808" t="str">
        <f t="shared" si="118"/>
        <v>SEVROLL 06813 listwa pozioma górna 1,7 m złota/mosiądz</v>
      </c>
      <c r="C3808" s="185">
        <f t="shared" si="119"/>
        <v>32.920960000000001</v>
      </c>
      <c r="D3808" t="s">
        <v>11257</v>
      </c>
      <c r="E3808" t="s">
        <v>11334</v>
      </c>
      <c r="F3808" t="s">
        <v>11335</v>
      </c>
      <c r="G3808" t="s">
        <v>11336</v>
      </c>
      <c r="H3808" s="460">
        <v>267.78640999999999</v>
      </c>
      <c r="I3808" s="460">
        <v>9.6283600000000007</v>
      </c>
      <c r="J3808" s="460">
        <v>32.920960000000001</v>
      </c>
      <c r="K3808" s="460">
        <v>3705.8187600000001</v>
      </c>
      <c r="L3808" s="459" t="s">
        <v>539</v>
      </c>
      <c r="P3808" t="s">
        <v>11389</v>
      </c>
    </row>
    <row r="3809" spans="1:16" ht="14.4" x14ac:dyDescent="0.3">
      <c r="A3809" s="196">
        <v>542865</v>
      </c>
      <c r="B3809" t="str">
        <f t="shared" si="118"/>
        <v>SEVROLL 06811 listwa pozioma górna 2,35m złoty/mosiądz</v>
      </c>
      <c r="C3809" s="185">
        <f t="shared" si="119"/>
        <v>45.644460000000002</v>
      </c>
      <c r="D3809" t="s">
        <v>11258</v>
      </c>
      <c r="E3809" t="s">
        <v>11337</v>
      </c>
      <c r="F3809" t="s">
        <v>11338</v>
      </c>
      <c r="G3809" t="s">
        <v>11339</v>
      </c>
      <c r="H3809" s="460">
        <v>371.28224999999998</v>
      </c>
      <c r="I3809" s="460">
        <v>13.349589999999999</v>
      </c>
      <c r="J3809" s="460">
        <v>45.644460000000002</v>
      </c>
      <c r="K3809" s="460">
        <v>5138.0675700000002</v>
      </c>
      <c r="L3809" s="459" t="s">
        <v>539</v>
      </c>
      <c r="P3809" t="s">
        <v>11390</v>
      </c>
    </row>
    <row r="3810" spans="1:16" ht="14.4" x14ac:dyDescent="0.3">
      <c r="A3810" s="196">
        <v>542866</v>
      </c>
      <c r="B3810" t="str">
        <f t="shared" si="118"/>
        <v>SEVROLL 06815 listwa pozioma górna 3m złoty/mosiądz</v>
      </c>
      <c r="C3810" s="185">
        <f t="shared" si="119"/>
        <v>58.27899</v>
      </c>
      <c r="D3810" t="s">
        <v>11259</v>
      </c>
      <c r="E3810" t="s">
        <v>11340</v>
      </c>
      <c r="F3810" t="s">
        <v>11341</v>
      </c>
      <c r="G3810" t="s">
        <v>11342</v>
      </c>
      <c r="H3810" s="460">
        <v>474.05432999999999</v>
      </c>
      <c r="I3810" s="460">
        <v>17.044799999999999</v>
      </c>
      <c r="J3810" s="460">
        <v>58.27899</v>
      </c>
      <c r="K3810" s="460">
        <v>6560.3008</v>
      </c>
      <c r="L3810" s="459" t="s">
        <v>539</v>
      </c>
      <c r="P3810" t="s">
        <v>11391</v>
      </c>
    </row>
    <row r="3811" spans="1:16" ht="14.4" x14ac:dyDescent="0.3">
      <c r="A3811" s="196">
        <v>542867</v>
      </c>
      <c r="B3811" t="str">
        <f t="shared" si="118"/>
        <v>SEVROLL 06810 Gemini 10 listwa pozioma dolna 1,7m 10mm złoty/mosiądz</v>
      </c>
      <c r="C3811" s="185">
        <f t="shared" si="119"/>
        <v>61.30415</v>
      </c>
      <c r="D3811" t="s">
        <v>11260</v>
      </c>
      <c r="E3811" t="s">
        <v>11343</v>
      </c>
      <c r="F3811" t="s">
        <v>11344</v>
      </c>
      <c r="G3811" t="s">
        <v>11345</v>
      </c>
      <c r="H3811" s="460">
        <v>498.66172</v>
      </c>
      <c r="I3811" s="460">
        <v>17.929569999999998</v>
      </c>
      <c r="J3811" s="460">
        <v>61.30415</v>
      </c>
      <c r="K3811" s="460">
        <v>6900.83565</v>
      </c>
      <c r="L3811" s="459" t="s">
        <v>539</v>
      </c>
      <c r="P3811" t="s">
        <v>11392</v>
      </c>
    </row>
    <row r="3812" spans="1:16" ht="14.4" x14ac:dyDescent="0.3">
      <c r="A3812" s="196">
        <v>542868</v>
      </c>
      <c r="B3812" t="str">
        <f t="shared" si="118"/>
        <v>SEVROLL 06811 Gemini 10 listwa pozioma dolna 2,35m 10mm złoty/mosiądz</v>
      </c>
      <c r="C3812" s="185">
        <f t="shared" si="119"/>
        <v>84.526759999999996</v>
      </c>
      <c r="D3812" t="s">
        <v>11261</v>
      </c>
      <c r="E3812" t="s">
        <v>11346</v>
      </c>
      <c r="F3812" t="s">
        <v>11347</v>
      </c>
      <c r="G3812" t="s">
        <v>11348</v>
      </c>
      <c r="H3812" s="460">
        <v>687.55971</v>
      </c>
      <c r="I3812" s="460">
        <v>24.72147</v>
      </c>
      <c r="J3812" s="460">
        <v>84.526759999999996</v>
      </c>
      <c r="K3812" s="460">
        <v>9514.9400999999998</v>
      </c>
      <c r="L3812" s="459" t="s">
        <v>539</v>
      </c>
      <c r="P3812" t="s">
        <v>11393</v>
      </c>
    </row>
    <row r="3813" spans="1:16" ht="14.4" x14ac:dyDescent="0.3">
      <c r="A3813" s="196">
        <v>542869</v>
      </c>
      <c r="B3813" t="str">
        <f t="shared" si="118"/>
        <v>SEVROLL 06812 Gemini 10 listwa pozioma dolna 3m 10mm złoty/mosiądz</v>
      </c>
      <c r="C3813" s="185">
        <f t="shared" si="119"/>
        <v>108.19427</v>
      </c>
      <c r="D3813" t="s">
        <v>11262</v>
      </c>
      <c r="E3813" t="s">
        <v>11349</v>
      </c>
      <c r="F3813" t="s">
        <v>11350</v>
      </c>
      <c r="G3813" t="s">
        <v>11351</v>
      </c>
      <c r="H3813" s="460">
        <v>880.07644000000005</v>
      </c>
      <c r="I3813" s="460">
        <v>31.64348</v>
      </c>
      <c r="J3813" s="460">
        <v>108.19427</v>
      </c>
      <c r="K3813" s="460">
        <v>12179.123159999999</v>
      </c>
      <c r="L3813" s="459" t="s">
        <v>539</v>
      </c>
      <c r="P3813" t="s">
        <v>11394</v>
      </c>
    </row>
    <row r="3814" spans="1:16" ht="14.4" x14ac:dyDescent="0.3">
      <c r="A3814" s="196">
        <v>542870</v>
      </c>
      <c r="B3814" t="str">
        <f t="shared" si="118"/>
        <v>SEVROLL 06793 listwa łącząca H10 3m złoty/mosiądz</v>
      </c>
      <c r="C3814" s="185">
        <f t="shared" si="119"/>
        <v>52.050690000000003</v>
      </c>
      <c r="D3814" t="s">
        <v>11263</v>
      </c>
      <c r="E3814" t="s">
        <v>11352</v>
      </c>
      <c r="F3814" t="s">
        <v>11353</v>
      </c>
      <c r="G3814" t="s">
        <v>11354</v>
      </c>
      <c r="H3814" s="460">
        <v>423.39202999999998</v>
      </c>
      <c r="I3814" s="460">
        <v>15.22322</v>
      </c>
      <c r="J3814" s="460">
        <v>52.050690000000003</v>
      </c>
      <c r="K3814" s="460">
        <v>5859.1999500000002</v>
      </c>
      <c r="L3814" s="459" t="s">
        <v>539</v>
      </c>
      <c r="P3814" t="s">
        <v>11395</v>
      </c>
    </row>
    <row r="3815" spans="1:16" ht="14.4" x14ac:dyDescent="0.3">
      <c r="A3815" s="196">
        <v>542871</v>
      </c>
      <c r="B3815" t="str">
        <f t="shared" si="118"/>
        <v>SEVROLL 06789 profil "U" do płyty laminowanej 18mm 3m złoty/mosiądz</v>
      </c>
      <c r="C3815" s="185">
        <f t="shared" si="119"/>
        <v>20.375389999999999</v>
      </c>
      <c r="D3815" t="s">
        <v>11264</v>
      </c>
      <c r="E3815" t="s">
        <v>11355</v>
      </c>
      <c r="F3815" t="s">
        <v>11356</v>
      </c>
      <c r="G3815" t="s">
        <v>11357</v>
      </c>
      <c r="H3815" s="460">
        <v>165.73806999999999</v>
      </c>
      <c r="I3815" s="460">
        <v>5.9591799999999999</v>
      </c>
      <c r="J3815" s="460">
        <v>20.375389999999999</v>
      </c>
      <c r="K3815" s="460">
        <v>2293.6015000000002</v>
      </c>
      <c r="L3815" s="459" t="s">
        <v>539</v>
      </c>
      <c r="P3815" t="s">
        <v>11396</v>
      </c>
    </row>
    <row r="3816" spans="1:16" ht="14.4" x14ac:dyDescent="0.3">
      <c r="A3816" s="196">
        <v>542872</v>
      </c>
      <c r="B3816" t="str">
        <f t="shared" si="118"/>
        <v>SEVROLL 06819 Fox II rączka 2,7m złoty/mosiądz</v>
      </c>
      <c r="C3816" s="185">
        <f t="shared" si="119"/>
        <v>71.091459999999998</v>
      </c>
      <c r="D3816" t="s">
        <v>11265</v>
      </c>
      <c r="E3816" t="s">
        <v>11358</v>
      </c>
      <c r="F3816" t="s">
        <v>11359</v>
      </c>
      <c r="G3816" t="s">
        <v>11360</v>
      </c>
      <c r="H3816" s="460">
        <v>578.27389000000005</v>
      </c>
      <c r="I3816" s="460">
        <v>20.792059999999999</v>
      </c>
      <c r="J3816" s="460">
        <v>71.091459999999998</v>
      </c>
      <c r="K3816" s="460">
        <v>8002.5655800000004</v>
      </c>
      <c r="L3816" s="459" t="s">
        <v>539</v>
      </c>
      <c r="P3816" t="s">
        <v>11397</v>
      </c>
    </row>
    <row r="3817" spans="1:16" ht="14.4" x14ac:dyDescent="0.3">
      <c r="A3817" s="196">
        <v>542873</v>
      </c>
      <c r="B3817" t="str">
        <f t="shared" si="118"/>
        <v>SEVROLL 06822 Gemini rączka 2,7m złoty/mosiądz</v>
      </c>
      <c r="C3817" s="185">
        <f t="shared" si="119"/>
        <v>80.789789999999996</v>
      </c>
      <c r="D3817" t="s">
        <v>11266</v>
      </c>
      <c r="E3817" t="s">
        <v>11361</v>
      </c>
      <c r="F3817" t="s">
        <v>11362</v>
      </c>
      <c r="G3817" t="s">
        <v>11363</v>
      </c>
      <c r="H3817" s="460">
        <v>657.16233999999997</v>
      </c>
      <c r="I3817" s="460">
        <v>23.628520000000002</v>
      </c>
      <c r="J3817" s="460">
        <v>80.789789999999996</v>
      </c>
      <c r="K3817" s="460">
        <v>9094.2795100000003</v>
      </c>
      <c r="L3817" s="459" t="s">
        <v>539</v>
      </c>
      <c r="P3817" t="s">
        <v>11398</v>
      </c>
    </row>
    <row r="3818" spans="1:16" ht="14.4" x14ac:dyDescent="0.3">
      <c r="A3818" s="196">
        <v>542874</v>
      </c>
      <c r="B3818" t="str">
        <f t="shared" si="118"/>
        <v>SEVROLL 06821 System 10 II rączka 2,7m złoty/mosiądz</v>
      </c>
      <c r="C3818" s="185">
        <f t="shared" si="119"/>
        <v>80.433880000000002</v>
      </c>
      <c r="D3818" t="s">
        <v>11267</v>
      </c>
      <c r="E3818" t="s">
        <v>11364</v>
      </c>
      <c r="F3818" t="s">
        <v>11365</v>
      </c>
      <c r="G3818" t="s">
        <v>11366</v>
      </c>
      <c r="H3818" s="460">
        <v>654.26733999999999</v>
      </c>
      <c r="I3818" s="460">
        <v>23.524429999999999</v>
      </c>
      <c r="J3818" s="460">
        <v>80.433880000000002</v>
      </c>
      <c r="K3818" s="460">
        <v>9054.2168399999991</v>
      </c>
      <c r="L3818" s="459" t="s">
        <v>539</v>
      </c>
      <c r="P3818" t="s">
        <v>11399</v>
      </c>
    </row>
  </sheetData>
  <autoFilter ref="A1:T3818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5.6640625" style="5" hidden="1" customWidth="1"/>
    <col min="11" max="11" width="6.664062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8" width="10.88671875" style="4" hidden="1" customWidth="1"/>
    <col min="19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6578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",7,".",24)</f>
        <v>Katalog Okuć meblowych 2024 str. 7.24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5"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5">
      <c r="A6" s="321"/>
      <c r="B6" s="594" t="str">
        <f>IF(D4=4,texty!A227,"")</f>
        <v/>
      </c>
      <c r="C6" s="19"/>
      <c r="D6" s="338">
        <v>3</v>
      </c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dylatacja 4 mm</v>
      </c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Tor dolny</v>
      </c>
      <c r="B29" s="15" t="str">
        <f>IFERROR((VLOOKUP(N5,data!C4:D108,2,0)),"N/A")</f>
        <v>N/A</v>
      </c>
      <c r="C29" s="23" t="str">
        <f>IF(B29=data!D64,texty!A239,+VLOOKUP(B29,cennik!A:G,2,FALSE))</f>
        <v> w tym kolorze i długości dany profil nie jest produkowany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profil maskujący (maskownica):</v>
      </c>
      <c r="B30" s="15" t="str">
        <f>IFERROR((VLOOKUP(N5,data!C115:D209,2,0)),"N/A")</f>
        <v>N/A</v>
      </c>
      <c r="C30" s="23" t="str">
        <f>IF(B30=data!D64,texty!A239,+VLOOKUP(B30,cennik!A:G,2,FALSE))</f>
        <v> w tym kolorze i długości dany profil nie jest produkowany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górne wózki</v>
      </c>
      <c r="B31" s="15">
        <v>89265</v>
      </c>
      <c r="C31" s="23" t="str">
        <f>+VLOOKUP(B31,cennik!A:G,2,FALSE)</f>
        <v>SEVROLL wózek górny 10mm asymetryczny L+P</v>
      </c>
      <c r="D31" s="15">
        <f>IF((D50+D51)&gt;D4,0,D4-(D50+D51))</f>
        <v>0</v>
      </c>
      <c r="E31" s="86">
        <f>+VLOOKUP(B31,cennik!A:G,3,FALSE)</f>
        <v>27.305399999999999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dolne wózki</v>
      </c>
      <c r="B32" s="15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szczotka odbojowa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rączka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śruba łącząca</v>
      </c>
      <c r="B35" s="1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listwa pozioma górna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5">
      <c r="A37" s="320" t="str">
        <f>+System10!A36</f>
        <v>listwa pozioma górna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5">
      <c r="A38" s="320" t="str">
        <f>+System10!A38</f>
        <v>poziomy dolny profil ramy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5">
      <c r="A39" s="320" t="str">
        <f>+System10!A39</f>
        <v>poziomy dolny profil ramy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15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profil łączący H10-3metry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profil łączący H30-3metry</v>
      </c>
      <c r="B53" s="15" t="str">
        <f>IFERROR(VLOOKUP(P7,data!C508:D516,2,0),"N/A")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354"/>
      <c r="E55" s="86">
        <f>+VLOOKUP(B55,cennik!A:G,3,FALSE)</f>
        <v>0.80579999999999996</v>
      </c>
      <c r="F55" s="86">
        <f>+E55*D55</f>
        <v>0</v>
      </c>
      <c r="G55" s="87">
        <f>+F55*(100-G26)/100</f>
        <v>0</v>
      </c>
      <c r="H55" s="22" t="str">
        <f>cennik!B2</f>
        <v>zł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zamek do drzwi przesuwnych</v>
      </c>
      <c r="B56" s="15">
        <v>216363</v>
      </c>
      <c r="C56" s="23" t="str">
        <f>+VLOOKUP(B56,cennik!A:G,2,FALSE)</f>
        <v>SEVROLL zamek do drzwi przesuwnych 10/18mm</v>
      </c>
      <c r="D56" s="354"/>
      <c r="E56" s="86">
        <f>+VLOOKUP(B56,cennik!A:G,3,FALSE)</f>
        <v>66.840599999999995</v>
      </c>
      <c r="F56" s="86">
        <f>+E56*D56</f>
        <v>0</v>
      </c>
      <c r="G56" s="87">
        <f>+F56*(100-G26)/100</f>
        <v>0</v>
      </c>
      <c r="H56" s="22" t="str">
        <f>cennik!B2</f>
        <v>zł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15">
        <v>89238</v>
      </c>
      <c r="C61" s="23" t="str">
        <f>+VLOOKUP(B61,cennik!A:G,2,FALSE)</f>
        <v>SEVROLL uszczelka do szkła 10/4 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uszczelka na szkło 4,5mm</v>
      </c>
      <c r="B62" s="15">
        <v>135164</v>
      </c>
      <c r="C62" s="23" t="str">
        <f>+VLOOKUP(B62,cennik!A:G,2,FALSE)</f>
        <v>SEVROLL uszczelka bezbarwna 10/4,5mm</v>
      </c>
      <c r="D62" s="355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22" t="str">
        <f>cennik!B2</f>
        <v>zł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uszczelka na szkło 6mm</v>
      </c>
      <c r="B63" s="15">
        <v>89243</v>
      </c>
      <c r="C63" s="23" t="str">
        <f>+VLOOKUP(B63,cennik!A:G,2,FALSE)</f>
        <v>SEVROLL uszczelka bezbarwna 10/6mm</v>
      </c>
      <c r="D63" s="355"/>
      <c r="E63" s="86">
        <f>+VLOOKUP(B63,cennik!A:G,3,FALSE)</f>
        <v>2.7501000000000002</v>
      </c>
      <c r="F63" s="91">
        <f>+CEILING(D63,1)*E63</f>
        <v>0</v>
      </c>
      <c r="G63" s="87">
        <f>+F63*(100-G26)/100</f>
        <v>0</v>
      </c>
      <c r="H63" s="22" t="str">
        <f>cennik!B2</f>
        <v>zł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71">
        <v>129677</v>
      </c>
      <c r="C65" s="472" t="str">
        <f>VLOOKUP(B65,cennik!A:C,2,0)</f>
        <v>SEVROLL element montażowy do płyty laminowanej 10mm mały</v>
      </c>
      <c r="D65" s="355"/>
      <c r="E65" s="86">
        <f>+VLOOKUP(B65,cennik!A:G,3,FALSE)</f>
        <v>51.590769999999999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1">
        <v>128842</v>
      </c>
      <c r="C66" s="472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>
        <v>68</v>
      </c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8"/>
      <c r="C69" s="689"/>
      <c r="D69" s="689"/>
      <c r="E69" s="689"/>
      <c r="F69" s="689"/>
      <c r="G69" s="690"/>
      <c r="H69" s="22"/>
      <c r="I69" s="22"/>
      <c r="L69" s="4" t="str">
        <f>data!J5</f>
        <v>złoty/mosiądz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data!J6</f>
        <v>j.brąz</v>
      </c>
      <c r="M70" s="19"/>
    </row>
    <row r="71" spans="1:14" ht="12.75" customHeight="1" x14ac:dyDescent="0.25">
      <c r="A71" s="678" t="str">
        <f>IF(N71=1,texty!A215,IF(K71&gt;0,texty!A214,""))</f>
        <v>niektóre elementy nie są produkowane w wybranej długości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L71" s="4" t="str">
        <f>data!J7</f>
        <v>j.brąz szczotkowany</v>
      </c>
      <c r="N71" s="4">
        <f>IF(ISERROR(K71),1,0)</f>
        <v>1</v>
      </c>
    </row>
    <row r="72" spans="1:14" ht="12.75" hidden="1" customHeight="1" x14ac:dyDescent="0.25">
      <c r="L72" s="4" t="str">
        <f>data!J8</f>
        <v>szczot.oliwa ciemna</v>
      </c>
    </row>
    <row r="73" spans="1:14" ht="12.75" hidden="1" customHeight="1" x14ac:dyDescent="0.25">
      <c r="L73" s="4" t="str">
        <f>data!J9</f>
        <v>szczot.czarna</v>
      </c>
    </row>
    <row r="74" spans="1:14" ht="12.75" hidden="1" customHeight="1" x14ac:dyDescent="0.25">
      <c r="L74" s="4" t="str">
        <f>data!J15</f>
        <v> biały połysk</v>
      </c>
    </row>
    <row r="75" spans="1:14" ht="12.75" hidden="1" customHeight="1" x14ac:dyDescent="0.25">
      <c r="L75" s="4" t="str">
        <f>data!J16</f>
        <v>czarny połysk</v>
      </c>
    </row>
    <row r="76" spans="1:14" ht="12.75" hidden="1" customHeight="1" x14ac:dyDescent="0.25">
      <c r="L76" s="4" t="str">
        <f>data!J17</f>
        <v> czarny mat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biały mat</v>
      </c>
    </row>
    <row r="79" spans="1:14" ht="12.75" hidden="1" customHeight="1" x14ac:dyDescent="0.25">
      <c r="L79" s="4" t="str">
        <f>data!J22</f>
        <v>czarny lakier strukturalny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5" t="s">
        <v>829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2" t="str">
        <f>CONCATENATE(texty!A243," ",7,".",24)</f>
        <v>Katalog Okuć meblowych 2024 str. 7.24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22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7" t="str">
        <f>texty!A45</f>
        <v>wypełnij 5 pól !!!!! informacje w mm</v>
      </c>
      <c r="C5" s="697"/>
      <c r="D5" s="697"/>
      <c r="E5" s="697"/>
      <c r="F5" s="697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W przypadku wykorzystania szkła,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należy wybrać bezpieczną szybę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ew. zabezpieczyć ją folią ochronną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długość toru i listwy maskującej skrzydła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7"/>
      <c r="G11" s="3" t="str">
        <f>texty!A43</f>
        <v>Maksymalna waga skrzydła to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rączka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24" customHeight="1" x14ac:dyDescent="0.25">
      <c r="A20" s="6"/>
      <c r="B20" s="376" t="str">
        <f>texty!A242</f>
        <v>dylatacja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+'Romeo II'!B27</f>
        <v>kod</v>
      </c>
      <c r="C27" s="16" t="str">
        <f>+'Romeo II'!C27</f>
        <v>nazwa</v>
      </c>
      <c r="D27" s="17" t="str">
        <f>+'Romeo II'!D27</f>
        <v>szt.</v>
      </c>
      <c r="E27" s="17" t="str">
        <f>+'Romeo II'!E27</f>
        <v>cena/szt.</v>
      </c>
      <c r="F27" s="17" t="str">
        <f>+'Romeo II'!F27</f>
        <v>cena w sumie</v>
      </c>
      <c r="G27" s="18" t="str">
        <f>+'Romeo II'!G27</f>
        <v>w sumie netto:</v>
      </c>
      <c r="H27" s="5"/>
      <c r="I27" s="16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Tor górny: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Tor dolny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dolne wózki</v>
      </c>
      <c r="B32" s="15">
        <f>IF(F4=M67,328321,229441)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rączka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listwa pozioma górna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listwa pozioma górna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poziomy dolny profil ramy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poziomy dolny profil ramy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3.74519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Wkręt do dolnego toru</v>
      </c>
      <c r="B49" s="15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profil łączący H10-3metry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profil łączący H30-3metry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zamek do drzwi przesuwnych</v>
      </c>
      <c r="B54" s="15">
        <v>363019</v>
      </c>
      <c r="C54" s="23" t="str">
        <f>+VLOOKUP(B54,cennik!A:G,2,FALSE)</f>
        <v>SEVROLL zamek do drzwi przesuwnych, do rączek Karat i Prosper</v>
      </c>
      <c r="D54" s="354"/>
      <c r="E54" s="86">
        <f>+VLOOKUP(B54,cennik!A:G,3,FALSE)</f>
        <v>134.51759999999999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>Na zamówienie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śruba łącząca</v>
      </c>
      <c r="B55" s="14">
        <v>89244</v>
      </c>
      <c r="C55" s="23" t="str">
        <f>+VLOOKUP(B55,cennik!A:G,2,FALSE)</f>
        <v>SEVROLL blachowkręt 6,3x32 SEVROLL i Simple</v>
      </c>
      <c r="D55" s="28"/>
      <c r="E55" s="86">
        <f>+VLOOKUP(B55,cennik!A:G,3,FALSE)</f>
        <v>0.52500000000000002</v>
      </c>
      <c r="F55" s="86">
        <f>+E55*D55</f>
        <v>0</v>
      </c>
      <c r="G55" s="87">
        <f>+F55*(100-G26)/100</f>
        <v>0</v>
      </c>
      <c r="H55" s="5" t="str">
        <f>cennik!B2</f>
        <v>zł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Długość uszczelki w przypadku całkowitego zaszklenia (należy zamówić całe metry)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(w przypadku kombinacji z profilami H należy dodać odpowiednią długość - uszczelka musi być na całym obwodzie każdego szkła)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uszczelka na szkło 4mm</v>
      </c>
      <c r="B60" s="15">
        <v>89238</v>
      </c>
      <c r="C60" s="23" t="str">
        <f>+VLOOKUP(B60,cennik!A:G,2,FALSE)</f>
        <v>SEVROLL uszczelka do szkła 10/4 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uszczelka na szkło 4,5mm</v>
      </c>
      <c r="B61" s="15">
        <v>135164</v>
      </c>
      <c r="C61" s="23" t="str">
        <f>+VLOOKUP(B61,cennik!A:G,2,FALSE)</f>
        <v>SEVROLL uszczelka bezbarwna 10/4,5mm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uszczelka na szkło 6mm</v>
      </c>
      <c r="B62" s="15">
        <v>89243</v>
      </c>
      <c r="C62" s="23" t="str">
        <f>+VLOOKUP(B62,cennik!A:G,2,FALSE)</f>
        <v>SEVROLL uszczelka bezbarwna 10/6mm</v>
      </c>
      <c r="D62" s="41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5" t="str">
        <f>cennik!B2</f>
        <v>zł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 xml:space="preserve">tutaj można znaleźć inne akcesoria 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rysunek techniczny tego systemu</v>
      </c>
      <c r="B64" s="443">
        <v>129677</v>
      </c>
      <c r="C64" s="474" t="str">
        <f>VLOOKUP(B64,cennik!A:C,2,0)</f>
        <v>SEVROLL element montażowy do płyty laminowanej 10mm mały</v>
      </c>
      <c r="D64" s="41"/>
      <c r="E64" s="86">
        <f>+VLOOKUP(B64,cennik!A:G,3,FALSE)</f>
        <v>51.590769999999999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3">
        <v>128842</v>
      </c>
      <c r="C65" s="474" t="str">
        <f>VLOOKUP(B65,cennik!A:C,2,0)</f>
        <v>SEVROLL wiertło stopniowe 6,5/9,5mm</v>
      </c>
      <c r="D65" s="41"/>
      <c r="E65" s="86">
        <f>+VLOOKUP(B65,cennik!A:G,3,FALSE)</f>
        <v>116.85122</v>
      </c>
      <c r="F65" s="91">
        <f>+CEILING(D65,1)*E65</f>
        <v>0</v>
      </c>
      <c r="G65" s="87">
        <f>F65</f>
        <v>0</v>
      </c>
      <c r="H65" s="5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5">
      <c r="B67" s="7"/>
      <c r="C67" s="7"/>
      <c r="D67" s="71" t="str">
        <f>texty!A15</f>
        <v>w sumie (bez VAT)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zł</v>
      </c>
      <c r="J67" s="166"/>
      <c r="K67" s="166"/>
      <c r="L67" s="4" t="str">
        <f>texty!A128</f>
        <v>srebrny</v>
      </c>
      <c r="M67" s="19" t="s">
        <v>968</v>
      </c>
    </row>
    <row r="68" spans="1:14" ht="12.75" customHeight="1" x14ac:dyDescent="0.25">
      <c r="A68" s="70" t="str">
        <f>System10!A67</f>
        <v>Uwagi</v>
      </c>
      <c r="B68" s="698"/>
      <c r="C68" s="699"/>
      <c r="D68" s="699"/>
      <c r="E68" s="699"/>
      <c r="F68" s="699"/>
      <c r="G68" s="700"/>
      <c r="I68" s="4"/>
      <c r="L68" s="4" t="str">
        <f>texty!A130</f>
        <v>j.brąz</v>
      </c>
      <c r="M68" s="19" t="s">
        <v>42</v>
      </c>
    </row>
    <row r="69" spans="1:14" ht="12.75" customHeight="1" x14ac:dyDescent="0.25">
      <c r="A69" s="694" t="str">
        <f>profil!U15</f>
        <v/>
      </c>
      <c r="B69" s="695"/>
      <c r="C69" s="695"/>
      <c r="D69" s="695"/>
      <c r="E69" s="695"/>
      <c r="F69" s="695"/>
      <c r="G69" s="695"/>
      <c r="H69" s="695"/>
    </row>
    <row r="70" spans="1:14" ht="12.75" customHeight="1" x14ac:dyDescent="0.25">
      <c r="A70" s="696" t="str">
        <f>IF(N70=1,texty!A215,IF(K70&gt;0,texty!A214,""))</f>
        <v>niektóre elementy nie są produkowane w wybranej długości</v>
      </c>
      <c r="B70" s="696"/>
      <c r="C70" s="696"/>
      <c r="D70" s="696"/>
      <c r="E70" s="696"/>
      <c r="F70" s="696"/>
      <c r="G70" s="696"/>
      <c r="H70" s="696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G4:I6"/>
    <mergeCell ref="I19:I20"/>
    <mergeCell ref="I21:I22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6579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2" t="str">
        <f>CONCATENATE(texty!A243," ",7,".",24)</f>
        <v>Katalog Okuć meblowych 2024 str. 7.24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22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7" t="str">
        <f>texty!A45</f>
        <v>wypełnij 5 pól !!!!! informacje w mm</v>
      </c>
      <c r="C5" s="697"/>
      <c r="D5" s="697"/>
      <c r="E5" s="697"/>
      <c r="F5" s="697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W przypadku wykorzystania szkła,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należy wybrać bezpieczną szybę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ew. zabezpieczyć ją folią ochronną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długość toru i listwy maskującej skrzydła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7"/>
      <c r="G11" s="3" t="str">
        <f>texty!A43</f>
        <v>Maksymalna waga skrzydła to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rączka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16.5" customHeight="1" x14ac:dyDescent="0.25">
      <c r="A20" s="6"/>
      <c r="B20" s="376" t="str">
        <f>texty!A242</f>
        <v>dylatacja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kod</v>
      </c>
      <c r="C27" s="16" t="str">
        <f>+'Romeo II'!C27</f>
        <v>nazwa</v>
      </c>
      <c r="D27" s="17" t="str">
        <f>+'Romeo II'!D27</f>
        <v>szt.</v>
      </c>
      <c r="E27" s="17" t="str">
        <f>+'Romeo II'!E27</f>
        <v>cena/szt.</v>
      </c>
      <c r="F27" s="17" t="str">
        <f>+'Romeo II'!F27</f>
        <v>cena w sumie</v>
      </c>
      <c r="G27" s="18" t="str">
        <f>+'Romeo II'!G27</f>
        <v>w sumie netto:</v>
      </c>
      <c r="H27" s="5"/>
      <c r="I27" s="16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Tor górny: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Tor dolny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dolne wózki</v>
      </c>
      <c r="B32" s="15">
        <f>IF(F4=M66,328321,229441)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rączka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listwa pozioma górna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listwa pozioma górna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poziomy dolny profil ramy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poziomy dolny profil ramy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3.74519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5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5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5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5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profil łączący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zamek do drzwi przesuwnych</v>
      </c>
      <c r="B53" s="15">
        <v>216363</v>
      </c>
      <c r="C53" s="23" t="str">
        <f>+VLOOKUP(B53,cennik!A:G,2,FALSE)</f>
        <v>SEVROLL zamek do drzwi przesuwnych 10/18mm</v>
      </c>
      <c r="D53" s="28"/>
      <c r="E53" s="86">
        <f>+VLOOKUP(B53,cennik!A:G,3,FALSE)</f>
        <v>66.840599999999995</v>
      </c>
      <c r="F53" s="86">
        <f>+E53*D53</f>
        <v>0</v>
      </c>
      <c r="G53" s="87">
        <f>+F53*(100-G26)/100</f>
        <v>0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28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Długość uszczelki w przypadku całkowitego zaszklenia (należy zamówić całe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(w przypadku kombinacji z profilami H należy dodać odpowiednią długość - uszczelka musi być na całym obwodzie każdego szkła)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41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5" t="str">
        <f>cennik!B2</f>
        <v>zł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 xml:space="preserve">tutaj można znaleźć inne akcesoria 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rysunek techniczny tego systemu</v>
      </c>
      <c r="B63" s="15">
        <v>129677</v>
      </c>
      <c r="C63" s="474" t="str">
        <f>VLOOKUP(B63,cennik!A:C,2,0)</f>
        <v>SEVROLL element montażowy do płyty laminowanej 10mm mały</v>
      </c>
      <c r="D63" s="41"/>
      <c r="E63" s="86">
        <f>+VLOOKUP(B63,cennik!A:G,3,FALSE)</f>
        <v>51.590769999999999</v>
      </c>
      <c r="F63" s="91">
        <f>+CEILING(D63,1)*E63</f>
        <v>0</v>
      </c>
      <c r="G63" s="87">
        <f>F63</f>
        <v>0</v>
      </c>
      <c r="H63" s="5" t="str">
        <f>cennik!B2</f>
        <v>zł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4" t="str">
        <f>VLOOKUP(B64,cennik!A:C,2,0)</f>
        <v>SEVROLL wiertło stopniowe 6,5/9,5mm</v>
      </c>
      <c r="D64" s="41"/>
      <c r="E64" s="86">
        <f>+VLOOKUP(B64,cennik!A:G,3,FALSE)</f>
        <v>116.85122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w sumie (bez VAT)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zł</v>
      </c>
      <c r="J66" s="166"/>
      <c r="K66" s="166"/>
      <c r="L66" s="4" t="str">
        <f>texty!A128</f>
        <v>srebrny</v>
      </c>
      <c r="M66" s="19" t="s">
        <v>968</v>
      </c>
    </row>
    <row r="67" spans="1:14" ht="12.75" customHeight="1" x14ac:dyDescent="0.25">
      <c r="A67" s="70" t="str">
        <f>System10!A67</f>
        <v>Uwagi</v>
      </c>
      <c r="B67" s="698"/>
      <c r="C67" s="699"/>
      <c r="D67" s="699"/>
      <c r="E67" s="699"/>
      <c r="F67" s="699"/>
      <c r="G67" s="700"/>
      <c r="I67" s="4"/>
      <c r="L67" s="4" t="str">
        <f>texty!A130</f>
        <v>j.brąz</v>
      </c>
      <c r="M67" s="19" t="s">
        <v>42</v>
      </c>
    </row>
    <row r="68" spans="1:14" ht="12.75" customHeight="1" x14ac:dyDescent="0.25">
      <c r="A68" s="694" t="str">
        <f>profil!U15</f>
        <v/>
      </c>
      <c r="B68" s="695"/>
      <c r="C68" s="695"/>
      <c r="D68" s="695"/>
      <c r="E68" s="695"/>
      <c r="F68" s="695"/>
      <c r="G68" s="695"/>
      <c r="H68" s="695"/>
    </row>
    <row r="69" spans="1:14" ht="12.75" customHeight="1" x14ac:dyDescent="0.25">
      <c r="A69" s="696" t="str">
        <f>IF(N69=1,texty!A215,IF(K69&gt;0,texty!A214,""))</f>
        <v>niektóre elementy nie są produkowane w wybranej długości</v>
      </c>
      <c r="B69" s="696"/>
      <c r="C69" s="696"/>
      <c r="D69" s="696"/>
      <c r="E69" s="696"/>
      <c r="F69" s="696"/>
      <c r="G69" s="696"/>
      <c r="H69" s="696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850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2" t="str">
        <f>CONCATENATE(texty!A243," ",7,".",23)</f>
        <v>Katalog Okuć meblowych 2024 str. 7.23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22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7" t="str">
        <f>texty!A45</f>
        <v>wypełnij 5 pól !!!!! informacje w mm</v>
      </c>
      <c r="C5" s="697"/>
      <c r="D5" s="697"/>
      <c r="E5" s="697"/>
      <c r="F5" s="697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W przypadku wykorzystania szkła,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należy wybrać bezpieczną szybę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ew. zabezpieczyć ją folią ochronną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długość toru i listwy maskującej skrzydła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7"/>
      <c r="G11" s="3" t="str">
        <f>texty!A43</f>
        <v>Maksymalna waga skrzydła to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rączka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16.5" customHeight="1" x14ac:dyDescent="0.25">
      <c r="A20" s="6"/>
      <c r="B20" s="596" t="str">
        <f>texty!A242</f>
        <v>dylatacja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kod</v>
      </c>
      <c r="C27" s="16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H27" s="5"/>
      <c r="I27" s="16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Tor górny: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Tor dolny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dolne wózki</v>
      </c>
      <c r="B32" s="15">
        <f>IF(F4=M66,328321,229441)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rączka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listwa pozioma górna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+System10!A36</f>
        <v>listwa pozioma górna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poziomy dolny profil ramy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poziomy dolny profil ramy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3.74519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5">
      <c r="A43" s="6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5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5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5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5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profil łączący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zamek do drzwi przesuwnych</v>
      </c>
      <c r="B53" s="15">
        <v>216363</v>
      </c>
      <c r="C53" s="23" t="str">
        <f>+VLOOKUP(B53,cennik!A:G,2,FALSE)</f>
        <v>SEVROLL zamek do drzwi przesuwnych 10/18mm</v>
      </c>
      <c r="D53" s="28"/>
      <c r="E53" s="86">
        <f>+VLOOKUP(B53,cennik!A:G,3,FALSE)</f>
        <v>66.840599999999995</v>
      </c>
      <c r="F53" s="86">
        <f>+E53*D53</f>
        <v>0</v>
      </c>
      <c r="G53" s="87">
        <f>+F53*(100-G26)/100</f>
        <v>0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28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Długość uszczelki w przypadku całkowitego zaszklenia (należy zamówić całe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(w przypadku kombinacji z profilami H należy dodać odpowiednią długość - uszczelka musi być na całym obwodzie każdego szkła)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41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5" t="str">
        <f>cennik!B2</f>
        <v>zł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 xml:space="preserve">tutaj można znaleźć inne akcesoria 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rysunek techniczny tego systemu</v>
      </c>
      <c r="B63" s="196">
        <v>129677</v>
      </c>
      <c r="C63" s="474" t="str">
        <f>VLOOKUP(B63,cennik!A:C,2,0)</f>
        <v>SEVROLL element montażowy do płyty laminowanej 10mm mały</v>
      </c>
      <c r="D63" s="41"/>
      <c r="E63" s="86">
        <f>+VLOOKUP(B63,cennik!A:G,3,FALSE)</f>
        <v>51.590769999999999</v>
      </c>
      <c r="F63" s="91">
        <f>+CEILING(D63,1)*E63</f>
        <v>0</v>
      </c>
      <c r="G63" s="87">
        <f>F63</f>
        <v>0</v>
      </c>
      <c r="H63" s="5" t="str">
        <f>cennik!B2</f>
        <v>zł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4" t="str">
        <f>VLOOKUP(B64,cennik!A:C,2,0)</f>
        <v>SEVROLL wiertło stopniowe 6,5/9,5mm</v>
      </c>
      <c r="D64" s="41"/>
      <c r="E64" s="86">
        <f>+VLOOKUP(B64,cennik!A:G,3,FALSE)</f>
        <v>116.85122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w sumie (bez VAT)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zł</v>
      </c>
      <c r="J66" s="166"/>
      <c r="K66" s="166"/>
      <c r="L66" s="4" t="str">
        <f>texty!A128</f>
        <v>srebrny</v>
      </c>
      <c r="M66" s="19" t="s">
        <v>968</v>
      </c>
    </row>
    <row r="67" spans="1:14" ht="12.75" customHeight="1" x14ac:dyDescent="0.25">
      <c r="A67" s="70" t="str">
        <f>System10!A67</f>
        <v>Uwagi</v>
      </c>
      <c r="B67" s="698"/>
      <c r="C67" s="699"/>
      <c r="D67" s="699"/>
      <c r="E67" s="699"/>
      <c r="F67" s="699"/>
      <c r="G67" s="700"/>
      <c r="I67" s="4"/>
      <c r="L67" s="4" t="str">
        <f>texty!A130</f>
        <v>j.brąz</v>
      </c>
      <c r="M67" s="19" t="s">
        <v>42</v>
      </c>
    </row>
    <row r="68" spans="1:14" ht="12.75" customHeight="1" x14ac:dyDescent="0.25">
      <c r="A68" s="694" t="str">
        <f>profil!U15</f>
        <v/>
      </c>
      <c r="B68" s="695"/>
      <c r="C68" s="695"/>
      <c r="D68" s="695"/>
      <c r="E68" s="695"/>
      <c r="F68" s="695"/>
      <c r="G68" s="695"/>
      <c r="H68" s="695"/>
    </row>
    <row r="69" spans="1:14" ht="12.75" customHeight="1" x14ac:dyDescent="0.25">
      <c r="A69" s="696" t="str">
        <f>IF(N69=1,texty!A215,IF(K69&gt;0,texty!A214,""))</f>
        <v>niektóre elementy nie są produkowane w wybranej długości</v>
      </c>
      <c r="B69" s="696"/>
      <c r="C69" s="696"/>
      <c r="D69" s="696"/>
      <c r="E69" s="696"/>
      <c r="F69" s="696"/>
      <c r="G69" s="696"/>
      <c r="H69" s="696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684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2" t="str">
        <f>CONCATENATE(texty!A243," ",7,".",33)</f>
        <v>Katalog Okuć meblowych 2024 str. 7.33</v>
      </c>
      <c r="B3" s="318" t="str">
        <f>CONCATENATE(texty!A34," / max.      3 040 mm /")</f>
        <v>wysokość / max.      3 040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18" customHeight="1" x14ac:dyDescent="0.25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79" t="str">
        <f>texty!A46</f>
        <v>wypełnij 4 pola !!!! Informacje w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IFERROR((C7-42),"")</f>
        <v/>
      </c>
      <c r="D10" s="7"/>
      <c r="E10" s="7"/>
      <c r="F10" s="3" t="str">
        <f>texty!A43</f>
        <v>Maksymalna waga skrzydła to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1" t="str">
        <f>IF(SUM(D48:D49)&gt;0,texty!A245,"")</f>
        <v/>
      </c>
      <c r="B14" s="681"/>
      <c r="C14" s="599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1"/>
      <c r="B15" s="681"/>
      <c r="C15" s="382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596" t="str">
        <f>texty!A242</f>
        <v>dylatacja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kod</v>
      </c>
      <c r="C27" s="16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I27" s="16" t="str">
        <f>texty!A29</f>
        <v>Uwagi: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Tor górny: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Tor dolny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profil maskujący (maskownica):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górne wózki</v>
      </c>
      <c r="B31" s="15">
        <v>229442</v>
      </c>
      <c r="C31" s="23" t="str">
        <f>+VLOOKUP(B31,cennik!A:G,2,FALSE)</f>
        <v>SEVROLL Master wózek górny 10mm - 2szt</v>
      </c>
      <c r="D31" s="15">
        <f>IF((D50+D51)&gt;D4,0,D4-(D50+D51))</f>
        <v>0</v>
      </c>
      <c r="E31" s="86">
        <f>+VLOOKUP(B31,cennik!A:G,3,FALSE)</f>
        <v>25.3689</v>
      </c>
      <c r="F31" s="86">
        <f t="shared" si="0"/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dolne wózki</v>
      </c>
      <c r="B32" s="15">
        <v>328321</v>
      </c>
      <c r="C32" s="23" t="str">
        <f>+VLOOKUP(B32,cennik!A:G,2,FALSE)</f>
        <v>SEVROLL wózek dolny WD10 V 2 szt. bez pozycjonera</v>
      </c>
      <c r="D32" s="15">
        <f>+D4</f>
        <v>0</v>
      </c>
      <c r="E32" s="86">
        <f>+VLOOKUP(B32,cennik!A:G,3,FALSE)</f>
        <v>26.52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rączka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>+E35*D35</f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listwa pozioma górna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listwa pozioma górna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poziomy dolny profil ramy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poziomy dolny profil ramy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3.74519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pozycjoner</v>
      </c>
      <c r="B43" s="15"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Wkręt do dolnego toru</v>
      </c>
      <c r="B44" s="7">
        <v>98019</v>
      </c>
      <c r="C44" s="23" t="str">
        <f>+VLOOKUP(B44,cennik!A:G,2,FALSE)</f>
        <v>SEVROLL wkręt 2,5x18mm</v>
      </c>
      <c r="D44" s="27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Tłumienie MINI do 25 kg (para)</v>
      </c>
      <c r="B45" s="15">
        <v>318662</v>
      </c>
      <c r="C45" s="23" t="str">
        <f>+VLOOKUP(B45,cennik!A:G,2,FALSE)</f>
        <v>SEVROLL tłumienie Mini SV25 (14-25kg)</v>
      </c>
      <c r="D45" s="27"/>
      <c r="E45" s="86">
        <f>+VLOOKUP(B45,cennik!A:G,3,FALSE)</f>
        <v>96.889799999999994</v>
      </c>
      <c r="F45" s="91">
        <f>+CEILING(D45,1)*E45</f>
        <v>0</v>
      </c>
      <c r="G45" s="87">
        <f>+F45*(100-G26)/100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Tłumienie MINI do 40 kg (para)</v>
      </c>
      <c r="B46" s="22">
        <v>283956</v>
      </c>
      <c r="C46" s="23" t="str">
        <f>+VLOOKUP(B46,cennik!A:G,2,FALSE)</f>
        <v>SEVROLL tłumienie Mini SV40 (25 - 40kg)</v>
      </c>
      <c r="D46" s="27"/>
      <c r="E46" s="86">
        <f>+VLOOKUP(B46,cennik!A:G,3,FALSE)</f>
        <v>96.889799999999994</v>
      </c>
      <c r="F46" s="91">
        <f>+CEILING(D46,1)*E46</f>
        <v>0</v>
      </c>
      <c r="G46" s="87">
        <f>+F46*(100-G26)/100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Tłumienie MINI do 60 kg (para)</v>
      </c>
      <c r="B47" s="22">
        <v>351743</v>
      </c>
      <c r="C47" s="23" t="str">
        <f>+VLOOKUP(B47,cennik!A:G,2,FALSE)</f>
        <v>SEVROLL tłumienie Mini SV60 (40 - 60kg)</v>
      </c>
      <c r="D47" s="27"/>
      <c r="E47" s="86">
        <f>+VLOOKUP(B47,cennik!A:G,3,FALSE)</f>
        <v>96.889799999999994</v>
      </c>
      <c r="F47" s="91">
        <f>+CEILING(D47,1)*E47</f>
        <v>0</v>
      </c>
      <c r="G47" s="87">
        <f>+F47*(100-G26)/100</f>
        <v>0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 xml:space="preserve"> Tłumienie do skrzydła środkowego do 25 kg </v>
      </c>
      <c r="B48" s="22">
        <v>318663</v>
      </c>
      <c r="C48" s="23" t="str">
        <f>+VLOOKUP(B48,cennik!A:G,2,FALSE)</f>
        <v>SEVROLL tłumienie Central 10/18mm obustronne 25kg</v>
      </c>
      <c r="D48" s="27"/>
      <c r="E48" s="86">
        <f>+VLOOKUP(B48,cennik!A:G,3,FALSE)</f>
        <v>206.958</v>
      </c>
      <c r="F48" s="91">
        <f>+CEILING(D48,1)*E48</f>
        <v>0</v>
      </c>
      <c r="G48" s="87">
        <f>+F48*(100-G26)/100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 xml:space="preserve"> Tłumienie do skrzydła środkowego do 40 kg </v>
      </c>
      <c r="B49" s="22">
        <v>283955</v>
      </c>
      <c r="C49" s="23" t="str">
        <f>+VLOOKUP(B49,cennik!A:G,2,FALSE)</f>
        <v>SEVROLL tłumienie Central 10/18mm obustronne 25-40kg</v>
      </c>
      <c r="D49" s="27"/>
      <c r="E49" s="86">
        <f>+VLOOKUP(B49,cennik!A:G,3,FALSE)</f>
        <v>206.958</v>
      </c>
      <c r="F49" s="91">
        <f>+CEILING(D49,1)*E49</f>
        <v>0</v>
      </c>
      <c r="G49" s="87">
        <f>+F49*(100-G26)/100</f>
        <v>0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profil łączący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profil łączący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28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śruba łącząca</v>
      </c>
      <c r="B55" s="15">
        <v>89244</v>
      </c>
      <c r="C55" s="23" t="str">
        <f>+VLOOKUP(B55,cennik!A:G,2,FALSE)</f>
        <v>SEVROLL blachowkręt 6,3x32 SEVROLL i Simple</v>
      </c>
      <c r="D55" s="28"/>
      <c r="E55" s="86">
        <f>+VLOOKUP(B55,cennik!A:G,3,FALSE)</f>
        <v>0.52500000000000002</v>
      </c>
      <c r="F55" s="86">
        <f>+E55*D55</f>
        <v>0</v>
      </c>
      <c r="G55" s="87">
        <f>+F55*(100-G26)/100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Długość uszczelki w przypadku całkowitego zaszklenia (należy zamówić całe metry)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(w przypadku kombinacji z profilami H należy dodać odpowiednią długość - uszczelka musi być na całym obwodzie każdego szkła)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uszczelka na szkło 4mm</v>
      </c>
      <c r="B60" s="15">
        <v>89238</v>
      </c>
      <c r="C60" s="23" t="str">
        <f>+VLOOKUP(B60,cennik!A:G,2,FALSE)</f>
        <v>SEVROLL uszczelka do szkła 10/4 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uszczelka na szkło 4,5mm</v>
      </c>
      <c r="B61" s="15">
        <v>135164</v>
      </c>
      <c r="C61" s="23" t="str">
        <f>+VLOOKUP(B61,cennik!A:G,2,FALSE)</f>
        <v>SEVROLL uszczelka bezbarwna 10/4,5mm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uszczelka na szkło 6mm</v>
      </c>
      <c r="B62" s="15">
        <v>89243</v>
      </c>
      <c r="C62" s="23" t="str">
        <f>+VLOOKUP(B62,cennik!A:G,2,FALSE)</f>
        <v>SEVROLL uszczelka bezbarwna 10/6mm</v>
      </c>
      <c r="D62" s="41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5" t="str">
        <f>cennik!B2</f>
        <v>zł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 xml:space="preserve">tutaj można znaleźć inne akcesoria 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rysunek techniczny tego systemu</v>
      </c>
      <c r="B64" s="196">
        <v>129677</v>
      </c>
      <c r="C64" s="153" t="str">
        <f>VLOOKUP(B64,cennik!A:C,2,0)</f>
        <v>SEVROLL element montażowy do płyty laminowanej 10mm mały</v>
      </c>
      <c r="D64" s="41"/>
      <c r="E64" s="86">
        <f>+VLOOKUP(B64,cennik!A:G,3,FALSE)</f>
        <v>51.590769999999999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wiertło stopniowe 6,5/9,5mm</v>
      </c>
      <c r="D65" s="41"/>
      <c r="E65" s="86">
        <f>+VLOOKUP(B65,cennik!A:G,3,FALSE)</f>
        <v>116.85122</v>
      </c>
      <c r="F65" s="91">
        <f>+CEILING(D65,1)*E65</f>
        <v>0</v>
      </c>
      <c r="G65" s="87">
        <f>F65</f>
        <v>0</v>
      </c>
      <c r="H65" s="5" t="str">
        <f>cennik!B2</f>
        <v>zł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5">
      <c r="B67" s="7"/>
      <c r="C67" s="7"/>
      <c r="D67" s="71" t="str">
        <f>texty!A15</f>
        <v>w sumie (bez VAT)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zł</v>
      </c>
      <c r="I67" s="166"/>
      <c r="J67" s="166"/>
      <c r="K67" s="4" t="str">
        <f>texty!A128</f>
        <v>srebrny</v>
      </c>
    </row>
    <row r="68" spans="1:13" ht="12.75" customHeight="1" x14ac:dyDescent="0.25">
      <c r="A68" s="70" t="str">
        <f>System10!A67</f>
        <v>Uwagi</v>
      </c>
      <c r="B68" s="701"/>
      <c r="C68" s="702"/>
      <c r="D68" s="702"/>
      <c r="E68" s="702"/>
      <c r="F68" s="702"/>
      <c r="G68" s="702"/>
      <c r="K68" s="4" t="str">
        <f>texty!A130</f>
        <v>j.brąz</v>
      </c>
    </row>
    <row r="69" spans="1:13" ht="12.75" customHeight="1" x14ac:dyDescent="0.25">
      <c r="A69" s="694" t="str">
        <f>profil!U15</f>
        <v/>
      </c>
      <c r="B69" s="695"/>
      <c r="C69" s="695"/>
      <c r="D69" s="695"/>
      <c r="E69" s="695"/>
      <c r="F69" s="695"/>
      <c r="G69" s="695"/>
    </row>
    <row r="70" spans="1:13" ht="12.75" customHeight="1" x14ac:dyDescent="0.25">
      <c r="A70" s="696" t="str">
        <f>IF(M70=1,texty!A215,IF(J70&gt;0,texty!A214,""))</f>
        <v>niektóre elementy nie są produkowane w wybranej długości</v>
      </c>
      <c r="B70" s="696"/>
      <c r="C70" s="696"/>
      <c r="D70" s="696"/>
      <c r="E70" s="696"/>
      <c r="F70" s="696"/>
      <c r="G70" s="696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5" t="s">
        <v>6586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",7,".",33)</f>
        <v>Katalog Okuć meblowych 2024 str. 7.33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466" t="str">
        <f>texty!A37</f>
        <v>kolor</v>
      </c>
      <c r="F3" s="5"/>
      <c r="G3" s="5"/>
      <c r="K3" s="5"/>
    </row>
    <row r="4" spans="1:21" ht="18" customHeight="1" x14ac:dyDescent="0.25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79" t="str">
        <f>texty!A46</f>
        <v>wypełnij 4 pola !!!! Informacje w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IFERROR((C7-68),"")</f>
        <v/>
      </c>
      <c r="D10" s="7"/>
      <c r="E10" s="7"/>
      <c r="F10" s="3" t="str">
        <f>texty!A43</f>
        <v>Maksymalna waga skrzydła to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1" t="str">
        <f>IF(SUM(D48:D49)&gt;0,texty!A245,"")</f>
        <v/>
      </c>
      <c r="B14" s="681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6" t="str">
        <f>texty!A242</f>
        <v>dylatacja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kod</v>
      </c>
      <c r="C27" s="16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I27" s="16" t="str">
        <f>texty!A29</f>
        <v>Uwagi: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Tor górny: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Tor dolny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profil maskujący (maskownica):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górne wózki</v>
      </c>
      <c r="B31" s="15">
        <v>98048</v>
      </c>
      <c r="C31" s="23" t="str">
        <f>+VLOOKUP(B31,cennik!A:G,2,FALSE)</f>
        <v>SEVROLL Future wózek górny 10mm L+P</v>
      </c>
      <c r="D31" s="15">
        <f>IF((D50+D51)&gt;D4,0,D4-(D50+D51))</f>
        <v>0</v>
      </c>
      <c r="E31" s="86">
        <f>+VLOOKUP(B31,cennik!A:G,3,FALSE)</f>
        <v>25.245000000000001</v>
      </c>
      <c r="F31" s="86">
        <f t="shared" si="0"/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dolne wózki</v>
      </c>
      <c r="B32" s="15">
        <v>328321</v>
      </c>
      <c r="C32" s="23" t="str">
        <f>+VLOOKUP(B32,cennik!A:G,2,FALSE)</f>
        <v>SEVROLL wózek dolny WD10 V 2 szt. bez pozycjonera</v>
      </c>
      <c r="D32" s="15">
        <f>+D4</f>
        <v>0</v>
      </c>
      <c r="E32" s="86">
        <f>+VLOOKUP(B32,cennik!A:G,3,FALSE)</f>
        <v>26.52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rączka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>+E35*D35</f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listwa pozioma górna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listwa pozioma górna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poziomy dolny profil ramy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poziomy dolny profil ramy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3.74519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pozycjoner</v>
      </c>
      <c r="B43" s="15"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Wkręt do dolnego toru</v>
      </c>
      <c r="B44" s="7">
        <v>98019</v>
      </c>
      <c r="C44" s="23" t="str">
        <f>+VLOOKUP(B44,cennik!A:G,2,FALSE)</f>
        <v>SEVROLL wkręt 2,5x18mm</v>
      </c>
      <c r="D44" s="27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Tłumienie MINI do 25 kg (para)</v>
      </c>
      <c r="B45" s="15">
        <v>318662</v>
      </c>
      <c r="C45" s="23" t="str">
        <f>+VLOOKUP(B45,cennik!A:G,2,FALSE)</f>
        <v>SEVROLL tłumienie Mini SV25 (14-25kg)</v>
      </c>
      <c r="D45" s="27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Tłumienie MINI do 40 kg (para)</v>
      </c>
      <c r="B46" s="22">
        <v>283956</v>
      </c>
      <c r="C46" s="23" t="str">
        <f>+VLOOKUP(B46,cennik!A:G,2,FALSE)</f>
        <v>SEVROLL tłumienie Mini SV40 (25 - 40kg)</v>
      </c>
      <c r="D46" s="27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Tłumienie MINI do 60 kg (para)</v>
      </c>
      <c r="B47" s="22">
        <v>351743</v>
      </c>
      <c r="C47" s="23" t="str">
        <f>+VLOOKUP(B47,cennik!A:G,2,FALSE)</f>
        <v>SEVROLL tłumienie Mini SV60 (40 - 60kg)</v>
      </c>
      <c r="D47" s="27"/>
      <c r="E47" s="86">
        <f>+VLOOKUP(B47,cennik!A:G,3,FALSE)</f>
        <v>96.889799999999994</v>
      </c>
      <c r="F47" s="91">
        <f t="shared" si="1"/>
        <v>0</v>
      </c>
      <c r="G47" s="87">
        <f>+F47*(100-G26)/100</f>
        <v>0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 xml:space="preserve"> Tłumienie do skrzydła środkowego do 25 kg </v>
      </c>
      <c r="B48" s="22">
        <v>318663</v>
      </c>
      <c r="C48" s="23" t="str">
        <f>+VLOOKUP(B48,cennik!A:G,2,FALSE)</f>
        <v>SEVROLL tłumienie Central 10/18mm obustronne 25kg</v>
      </c>
      <c r="D48" s="27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 xml:space="preserve"> Tłumienie do skrzydła środkowego do 40 kg </v>
      </c>
      <c r="B49" s="22">
        <v>283955</v>
      </c>
      <c r="C49" s="23" t="str">
        <f>+VLOOKUP(B49,cennik!A:G,2,FALSE)</f>
        <v>SEVROLL tłumienie Central 10/18mm obustronne 25-40kg</v>
      </c>
      <c r="D49" s="27"/>
      <c r="E49" s="86">
        <f>+VLOOKUP(B49,cennik!A:G,3,FALSE)</f>
        <v>206.958</v>
      </c>
      <c r="F49" s="91">
        <f t="shared" si="1"/>
        <v>0</v>
      </c>
      <c r="G49" s="87">
        <f>+F49*(100-G26)/100</f>
        <v>0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profil łączący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profil łączący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28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śruba łącząca</v>
      </c>
      <c r="B55" s="15">
        <v>89244</v>
      </c>
      <c r="C55" s="23" t="str">
        <f>+VLOOKUP(B55,cennik!A:G,2,FALSE)</f>
        <v>SEVROLL blachowkręt 6,3x32 SEVROLL i Simple</v>
      </c>
      <c r="D55" s="28"/>
      <c r="E55" s="86">
        <f>+VLOOKUP(B55,cennik!A:G,3,FALSE)</f>
        <v>0.52500000000000002</v>
      </c>
      <c r="F55" s="86">
        <f>+E55*D55</f>
        <v>0</v>
      </c>
      <c r="G55" s="87">
        <f>+F55*(100-G26)/100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szczotka przeciwkurzowa</v>
      </c>
      <c r="B56" s="15">
        <v>95946</v>
      </c>
      <c r="C56" s="23" t="str">
        <f>+VLOOKUP(B56,cennik!A:G,2,FALSE)</f>
        <v>SEVROLL szczotka przeciwkurzowa bez kleju 4,8x13 mm, szara</v>
      </c>
      <c r="D56" s="28"/>
      <c r="E56" s="86">
        <f>+VLOOKUP(B56,cennik!A:G,3,FALSE)</f>
        <v>0.80579999999999996</v>
      </c>
      <c r="F56" s="86">
        <f>+E56*D56</f>
        <v>0</v>
      </c>
      <c r="G56" s="87">
        <f>+F56*(100-G26)/100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Długość uszczelki w przypadku całkowitego zaszklenia (należy zamówić całe metry)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(w przypadku kombinacji z profilami H należy dodać odpowiednią długość - uszczelka musi być na całym obwodzie każdego szkła)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uszczelka na szkło 4mm</v>
      </c>
      <c r="B61" s="15">
        <v>89238</v>
      </c>
      <c r="C61" s="23" t="str">
        <f>+VLOOKUP(B61,cennik!A:G,2,FALSE)</f>
        <v>SEVROLL uszczelka do szkła 10/4 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uszczelka na szkło 4,5mm</v>
      </c>
      <c r="B62" s="15">
        <v>135164</v>
      </c>
      <c r="C62" s="23" t="str">
        <f>+VLOOKUP(B62,cennik!A:G,2,FALSE)</f>
        <v>SEVROLL uszczelka bezbarwna 10/4,5mm</v>
      </c>
      <c r="D62" s="41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5" t="str">
        <f>cennik!B2</f>
        <v>zł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uszczelka na szkło 6mm</v>
      </c>
      <c r="B63" s="15">
        <v>89243</v>
      </c>
      <c r="C63" s="23" t="str">
        <f>+VLOOKUP(B63,cennik!A:G,2,FALSE)</f>
        <v>SEVROLL uszczelka bezbarwna 10/6mm</v>
      </c>
      <c r="D63" s="41"/>
      <c r="E63" s="86">
        <f>+VLOOKUP(B63,cennik!A:G,3,FALSE)</f>
        <v>2.7501000000000002</v>
      </c>
      <c r="F63" s="91">
        <f>+CEILING(D63,1)*E63</f>
        <v>0</v>
      </c>
      <c r="G63" s="87">
        <f>+F63*(100-G26)/100</f>
        <v>0</v>
      </c>
      <c r="H63" s="5" t="str">
        <f>cennik!B2</f>
        <v>zł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 xml:space="preserve">tutaj można znaleźć inne akcesoria 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rysunek techniczny tego systemu</v>
      </c>
      <c r="B65" s="153">
        <v>129677</v>
      </c>
      <c r="C65" s="153" t="str">
        <f>VLOOKUP(B65,cennik!A:C,2,0)</f>
        <v>SEVROLL element montażowy do płyty laminowanej 10mm mały</v>
      </c>
      <c r="D65" s="41"/>
      <c r="E65" s="86">
        <f>+VLOOKUP(B65,cennik!A:G,3,FALSE)</f>
        <v>51.590769999999999</v>
      </c>
      <c r="F65" s="91">
        <f>+CEILING(D65,1)*E65</f>
        <v>0</v>
      </c>
      <c r="G65" s="87">
        <f>F65</f>
        <v>0</v>
      </c>
      <c r="H65" s="5" t="str">
        <f>cennik!B2</f>
        <v>zł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wiertło stopniowe 6,5/9,5mm</v>
      </c>
      <c r="D66" s="41"/>
      <c r="E66" s="86">
        <f>+VLOOKUP(B66,cennik!A:G,3,FALSE)</f>
        <v>116.85122</v>
      </c>
      <c r="F66" s="91">
        <f>+CEILING(D66,1)*E66</f>
        <v>0</v>
      </c>
      <c r="G66" s="87">
        <f>F66</f>
        <v>0</v>
      </c>
      <c r="H66" s="5" t="str">
        <f>cennik!B2</f>
        <v>zł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5">
      <c r="B68" s="7"/>
      <c r="C68" s="7"/>
      <c r="D68" s="71" t="str">
        <f>texty!A15</f>
        <v>w sumie (bez VAT)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zł</v>
      </c>
      <c r="I68" s="166"/>
      <c r="J68" s="166"/>
      <c r="K68" s="4" t="str">
        <f>texty!A128</f>
        <v>srebrny</v>
      </c>
    </row>
    <row r="69" spans="1:13" ht="12.75" customHeight="1" x14ac:dyDescent="0.25">
      <c r="A69" s="70" t="str">
        <f>System10!A67</f>
        <v>Uwagi</v>
      </c>
      <c r="B69" s="701"/>
      <c r="C69" s="702"/>
      <c r="D69" s="702"/>
      <c r="E69" s="702"/>
      <c r="F69" s="702"/>
      <c r="G69" s="702"/>
      <c r="K69" s="4" t="str">
        <f>texty!A130</f>
        <v>j.brąz</v>
      </c>
    </row>
    <row r="70" spans="1:13" ht="12.75" customHeight="1" x14ac:dyDescent="0.25">
      <c r="A70" s="694" t="str">
        <f>profil!U15</f>
        <v/>
      </c>
      <c r="B70" s="695"/>
      <c r="C70" s="695"/>
      <c r="D70" s="695"/>
      <c r="E70" s="695"/>
      <c r="F70" s="695"/>
      <c r="G70" s="695"/>
    </row>
    <row r="71" spans="1:13" ht="12.75" customHeight="1" x14ac:dyDescent="0.25">
      <c r="A71" s="696" t="str">
        <f>IF(M71=1,texty!A215,IF(J71&gt;0,texty!A214,""))</f>
        <v>niektóre elementy nie są produkowane w wybranej długości</v>
      </c>
      <c r="B71" s="696"/>
      <c r="C71" s="696"/>
      <c r="D71" s="696"/>
      <c r="E71" s="696"/>
      <c r="F71" s="696"/>
      <c r="G71" s="696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5" t="s">
        <v>977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",7,".",35)</f>
        <v>Katalog Okuć meblowych 2024 str. 7.35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18" customHeight="1" x14ac:dyDescent="0.25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wypełnij 4 pola !!!! Informacje w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rozmiar wypełnienia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IFERROR((C7-33.2),"")</f>
        <v/>
      </c>
      <c r="D10" s="7"/>
      <c r="E10" s="7"/>
      <c r="F10" s="3" t="str">
        <f>texty!A44</f>
        <v>Maksymalna waga skrzydła to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1" t="str">
        <f>IF(SUM(D50:D51)&gt;0,texty!A247,"")</f>
        <v/>
      </c>
      <c r="B14" s="681"/>
      <c r="C14" s="382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1"/>
      <c r="B15" s="681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6" t="str">
        <f>texty!A242</f>
        <v>dylatacja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partnerska zniżka: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Kody zamówieniowe,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kod</v>
      </c>
      <c r="C29" s="16" t="str">
        <f>+System10!C27</f>
        <v>nazwa</v>
      </c>
      <c r="D29" s="17" t="str">
        <f>+System10!D27</f>
        <v>szt.</v>
      </c>
      <c r="E29" s="17" t="str">
        <f>+System10!E27</f>
        <v>cena/szt.</v>
      </c>
      <c r="F29" s="17" t="str">
        <f>+System10!F27</f>
        <v>cena w sumie</v>
      </c>
      <c r="G29" s="18" t="str">
        <f>+System10!G27</f>
        <v>w sumie netto:</v>
      </c>
      <c r="I29" s="16" t="str">
        <f>texty!A29</f>
        <v>Uwagi: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Tor górny: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Tor dolny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zaślepka toru dolnego</v>
      </c>
      <c r="B32" s="15">
        <v>216362</v>
      </c>
      <c r="C32" s="23" t="str">
        <f>+VLOOKUP(B32,cennik!A:G,2,FALSE)</f>
        <v>SEVROLL zaślepka gumowa do toru Simple/Blue przeźroczysta</v>
      </c>
      <c r="D32" s="15">
        <f>CEILING(C4/1000,1)</f>
        <v>0</v>
      </c>
      <c r="E32" s="86">
        <f>+VLOOKUP(B32,cennik!A:G,3,FALSE)</f>
        <v>3.4045299999999998</v>
      </c>
      <c r="F32" s="86">
        <f>+E32*D32</f>
        <v>0</v>
      </c>
      <c r="G32" s="87">
        <f>+F32*(100-G28)/100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górne wózki</v>
      </c>
      <c r="B33" s="15">
        <v>349942</v>
      </c>
      <c r="C33" s="23" t="str">
        <f>+VLOOKUP(B33,cennik!A:G,2,FALSE)</f>
        <v>SEVROLL wózek górny Blue 10mm asymetryczny L+P</v>
      </c>
      <c r="D33" s="15">
        <f>+D4</f>
        <v>0</v>
      </c>
      <c r="E33" s="86">
        <f>+VLOOKUP(B33,cennik!A:G,3,FALSE)</f>
        <v>15.244389999999999</v>
      </c>
      <c r="F33" s="86">
        <f>+E33*D33</f>
        <v>0</v>
      </c>
      <c r="G33" s="87">
        <f>+F33*(100-G28)/100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dolne wózki</v>
      </c>
      <c r="B34" s="15">
        <v>229446</v>
      </c>
      <c r="C34" s="23" t="str">
        <f>+VLOOKUP(B34,cennik!A:G,2,FALSE)</f>
        <v>SEVROLL wózek dolny Simple/Blue V (system ramowy) - 2szt</v>
      </c>
      <c r="D34" s="15">
        <f>+D4</f>
        <v>0</v>
      </c>
      <c r="E34" s="86">
        <f>+VLOOKUP(B34,cennik!A:G,3,FALSE)</f>
        <v>16.17259</v>
      </c>
      <c r="F34" s="86">
        <f>+E34*D34</f>
        <v>0</v>
      </c>
      <c r="G34" s="87">
        <f>+F34*(100-G28)/100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szczotka odbojowa</v>
      </c>
      <c r="B35" s="15">
        <v>98067</v>
      </c>
      <c r="C35" s="23" t="str">
        <f>+VLOOKUP(B35,cennik!A:G,2,FALSE)</f>
        <v>SEVROLL szczotka odbojowa zasuwana 14,5x4 mm</v>
      </c>
      <c r="D35" s="15">
        <f>CEILING((B4*D4*2/1000),1)</f>
        <v>0</v>
      </c>
      <c r="E35" s="86">
        <f>+VLOOKUP(B35,cennik!A:G,3,FALSE)</f>
        <v>1.224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rączka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śruba łącząca</v>
      </c>
      <c r="B37" s="5">
        <v>89244</v>
      </c>
      <c r="C37" s="23" t="str">
        <f>+VLOOKUP(B37,cennik!A:G,2,FALSE)</f>
        <v>SEVROLL blachowkręt 6,3x32 SEVROLL i Simple</v>
      </c>
      <c r="D37" s="15">
        <f>+D4*4</f>
        <v>0</v>
      </c>
      <c r="E37" s="86">
        <f>+VLOOKUP(B37,cennik!A:G,3,FALSE)</f>
        <v>0.52500000000000002</v>
      </c>
      <c r="F37" s="86">
        <f t="shared" si="0"/>
        <v>0</v>
      </c>
      <c r="G37" s="87">
        <f>+F37*(100-G28)/100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listwa pozioma górna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listwa pozioma górna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poziomy dolny profil ramy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zł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poziomy dolny profil ramy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zł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Akcesoria:</v>
      </c>
      <c r="B43" s="7"/>
      <c r="D43" s="24" t="str">
        <f>System10!D41</f>
        <v>podaj ilość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pozycjoner wózka górnego</v>
      </c>
      <c r="B44" s="7">
        <v>298035</v>
      </c>
      <c r="C44" s="23" t="str">
        <f>+VLOOKUP(B44,cennik!A:G,2,FALSE)</f>
        <v>SEVROLL Fix pozycjoner wózka górnego transparentny</v>
      </c>
      <c r="D44" s="27"/>
      <c r="E44" s="86">
        <f>+VLOOKUP(B44,cennik!A:G,3,FALSE)</f>
        <v>3.74519</v>
      </c>
      <c r="F44" s="91">
        <f>+CEILING(D44,1)*E44</f>
        <v>0</v>
      </c>
      <c r="G44" s="87">
        <f>+F44*(100-G28)/100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pozycjoner</v>
      </c>
      <c r="B45" s="589">
        <v>229681</v>
      </c>
      <c r="C45" s="23" t="str">
        <f>+VLOOKUP(B45,cennik!A:G,2,FALSE)</f>
        <v>SEVROLL Simple/Blue pozycjoner wózka dolnego</v>
      </c>
      <c r="D45" s="27"/>
      <c r="E45" s="86">
        <f>+VLOOKUP(B45,cennik!A:G,3,FALSE)</f>
        <v>1.2257</v>
      </c>
      <c r="F45" s="91">
        <f>+CEILING(D45,1)*E45</f>
        <v>0</v>
      </c>
      <c r="G45" s="87">
        <f>+F45*(100-G28)/100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Wkręt do dolnego toru</v>
      </c>
      <c r="B46" s="7">
        <v>98019</v>
      </c>
      <c r="C46" s="23" t="str">
        <f>+VLOOKUP(B46,cennik!A:G,2,FALSE)</f>
        <v>SEVROLL wkręt 2,5x18mm</v>
      </c>
      <c r="D46" s="27"/>
      <c r="E46" s="86">
        <f>+VLOOKUP(B46,cennik!A:G,3,FALSE)</f>
        <v>0.10996</v>
      </c>
      <c r="F46" s="91">
        <f>+CEILING(D46,1)*E46</f>
        <v>0</v>
      </c>
      <c r="G46" s="87">
        <f>+F46*(100-G24)/100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profil łączący H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profil łączący H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profil łączący H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Tłumienie MINI do 25 kg (para)</v>
      </c>
      <c r="B50" s="15">
        <v>350024</v>
      </c>
      <c r="C50" s="23" t="str">
        <f>+VLOOKUP(B50,cennik!A:G,2,FALSE)</f>
        <v>SEVROLL tłumienie Simple/Blue 10/18 25kg L+P</v>
      </c>
      <c r="D50" s="408"/>
      <c r="E50" s="86">
        <f>+VLOOKUP(B50,cennik!A:G,3,FALSE)</f>
        <v>109.51739999999999</v>
      </c>
      <c r="F50" s="91">
        <f>+CEILING(D50,1)*E50</f>
        <v>0</v>
      </c>
      <c r="G50" s="87">
        <f>+F50*(100-G28)/100</f>
        <v>0</v>
      </c>
      <c r="H50" s="5" t="str">
        <f>cennik!B2</f>
        <v>zł</v>
      </c>
      <c r="I50" s="363" t="str">
        <f>IFERROR(IF((VLOOKUP(B50,cennik!A:L,12,0))="O",texty!A250,""),"")</f>
        <v>Na zamówienie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Tłumienie MINI do 40 kg (para)</v>
      </c>
      <c r="B51" s="22">
        <v>293776</v>
      </c>
      <c r="C51" s="23" t="str">
        <f>+VLOOKUP(B51,cennik!A:G,2,FALSE)</f>
        <v>SEVROLL tłumienie Simple/Blue 10/18, 25 - 40kg, L+P</v>
      </c>
      <c r="D51" s="27"/>
      <c r="E51" s="86">
        <f>+VLOOKUP(B51,cennik!A:G,3,FALSE)</f>
        <v>109.51739999999999</v>
      </c>
      <c r="F51" s="91">
        <f>+CEILING(D51,1)*E51</f>
        <v>0</v>
      </c>
      <c r="G51" s="87">
        <f>+F51*(100-G28)/100</f>
        <v>0</v>
      </c>
      <c r="H51" s="5" t="str">
        <f>cennik!B2</f>
        <v>zł</v>
      </c>
      <c r="I51" s="363" t="str">
        <f>IFERROR(IF((VLOOKUP(B51,cennik!A:L,12,0))="O",texty!A250,""),"")</f>
        <v>Na zamówienie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śruba łącząca</v>
      </c>
      <c r="B52" s="15">
        <v>89244</v>
      </c>
      <c r="C52" s="23" t="str">
        <f>+VLOOKUP(B52,cennik!A:G,2,FALSE)</f>
        <v>SEVROLL blachowkręt 6,3x32 SEVROLL i Simple</v>
      </c>
      <c r="D52" s="28"/>
      <c r="E52" s="86">
        <f>+VLOOKUP(B52,cennik!A:G,3,FALSE)</f>
        <v>0.52500000000000002</v>
      </c>
      <c r="F52" s="86">
        <f>+E52*D52</f>
        <v>0</v>
      </c>
      <c r="G52" s="87">
        <f>+F52*(100-G28)/100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Długość uszczelki w przypadku całkowitego zaszklenia (należy zamówić całe metry)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(w przypadku kombinacji z profilami H należy dodać odpowiednią długość - uszczelka musi być na całym obwodzie każdego szkła)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uszczelka na szkło 4mm</v>
      </c>
      <c r="B57" s="15">
        <v>89238</v>
      </c>
      <c r="C57" s="23" t="str">
        <f>+VLOOKUP(B57,cennik!A:G,2,FALSE)</f>
        <v>SEVROLL uszczelka do szkła 10/4 mm</v>
      </c>
      <c r="D57" s="41"/>
      <c r="E57" s="86">
        <f>+VLOOKUP(B57,cennik!A:G,3,FALSE)</f>
        <v>2.7501000000000002</v>
      </c>
      <c r="F57" s="91">
        <f>+CEILING(D57,1)*E57</f>
        <v>0</v>
      </c>
      <c r="G57" s="87">
        <f>+F57*(100-G28)/100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uszczelka na szkło 4,5mm</v>
      </c>
      <c r="B58" s="15">
        <v>135164</v>
      </c>
      <c r="C58" s="23" t="str">
        <f>+VLOOKUP(B58,cennik!A:G,2,FALSE)</f>
        <v>SEVROLL uszczelka bezbarwna 10/4,5mm</v>
      </c>
      <c r="D58" s="41"/>
      <c r="E58" s="86">
        <f>+VLOOKUP(B58,cennik!A:G,3,FALSE)</f>
        <v>2.7501000000000002</v>
      </c>
      <c r="F58" s="91">
        <f>+CEILING(D58,1)*E58</f>
        <v>0</v>
      </c>
      <c r="G58" s="87">
        <f>+F58*(100-G28)/100</f>
        <v>0</v>
      </c>
      <c r="H58" s="5" t="str">
        <f>cennik!B2</f>
        <v>zł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uszczelka na szkło 6mm</v>
      </c>
      <c r="B59" s="15">
        <v>89243</v>
      </c>
      <c r="C59" s="23" t="str">
        <f>+VLOOKUP(B59,cennik!A:G,2,FALSE)</f>
        <v>SEVROLL uszczelka bezbarwna 10/6mm</v>
      </c>
      <c r="D59" s="41"/>
      <c r="E59" s="86">
        <f>+VLOOKUP(B59,cennik!A:G,3,FALSE)</f>
        <v>2.7501000000000002</v>
      </c>
      <c r="F59" s="91">
        <f>+CEILING(D59,1)*E59</f>
        <v>0</v>
      </c>
      <c r="G59" s="87">
        <f>+F59*(100-G28)/100</f>
        <v>0</v>
      </c>
      <c r="H59" s="5" t="str">
        <f>cennik!B2</f>
        <v>zł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 xml:space="preserve">tutaj można znaleźć inne akcesoria 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rysunek techniczny tego systemu</v>
      </c>
      <c r="B61" s="196">
        <v>128842</v>
      </c>
      <c r="C61" s="153" t="str">
        <f>VLOOKUP(B61,cennik!A:C,2,0)</f>
        <v>SEVROLL wiertło stopniowe 6,5/9,5mm</v>
      </c>
      <c r="D61" s="41"/>
      <c r="E61" s="86">
        <f>+VLOOKUP(B61,cennik!A:G,3,FALSE)</f>
        <v>116.85122</v>
      </c>
      <c r="F61" s="91">
        <f>+CEILING(D61,1)*E61</f>
        <v>0</v>
      </c>
      <c r="G61" s="87">
        <f>F61</f>
        <v>0</v>
      </c>
      <c r="H61" s="5" t="str">
        <f>cennik!B2</f>
        <v>zł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w sumie (bez VAT)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zł</v>
      </c>
      <c r="I63" s="166"/>
      <c r="J63" s="166"/>
      <c r="K63" s="4" t="str">
        <f>texty!A128</f>
        <v>srebrny</v>
      </c>
    </row>
    <row r="64" spans="1:11" ht="12.75" customHeight="1" x14ac:dyDescent="0.25">
      <c r="A64" s="70" t="str">
        <f>System10!A67</f>
        <v>Uwagi</v>
      </c>
      <c r="B64" s="701"/>
      <c r="C64" s="702"/>
      <c r="D64" s="702"/>
      <c r="E64" s="702"/>
      <c r="F64" s="702"/>
      <c r="G64" s="702"/>
      <c r="K64" s="4" t="str">
        <f>texty!A130</f>
        <v>j.brąz</v>
      </c>
    </row>
    <row r="65" spans="1:13" ht="12.75" customHeight="1" x14ac:dyDescent="0.25">
      <c r="A65" s="694" t="str">
        <f>profil!U15</f>
        <v/>
      </c>
      <c r="B65" s="694"/>
      <c r="C65" s="694"/>
      <c r="D65" s="694"/>
      <c r="E65" s="694"/>
      <c r="F65" s="694"/>
      <c r="G65" s="694"/>
    </row>
    <row r="66" spans="1:13" ht="12.75" customHeight="1" x14ac:dyDescent="0.25">
      <c r="A66" s="696" t="str">
        <f>IF(M66=1,texty!A215,IF(J66&gt;0,texty!A214,""))</f>
        <v>niektóre elementy nie są produkowane w wybranej długości</v>
      </c>
      <c r="B66" s="696"/>
      <c r="C66" s="696"/>
      <c r="D66" s="696"/>
      <c r="E66" s="696"/>
      <c r="F66" s="696"/>
      <c r="G66" s="696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987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",7,".",35)</f>
        <v>Katalog Okuć meblowych 2024 str. 7.35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18" customHeight="1" x14ac:dyDescent="0.25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wypełnij 4 pola !!!! Informacje w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rozmiar wypełnienia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3" t="str">
        <f>texty!A44</f>
        <v>Maksymalna waga skrzydła to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1" t="str">
        <f>IF(SUM(D52:D53)&gt;0,texty!A247,"")</f>
        <v/>
      </c>
      <c r="B14" s="681"/>
      <c r="C14" s="382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1"/>
      <c r="B15" s="681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681"/>
      <c r="B16" s="681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681"/>
      <c r="B17" s="681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598" t="str">
        <f>texty!A242</f>
        <v>dylatacja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partnerska zniżka: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Kody zamówieniowe,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kod</v>
      </c>
      <c r="C30" s="16" t="str">
        <f>+System10!C27</f>
        <v>nazwa</v>
      </c>
      <c r="D30" s="17" t="str">
        <f>+System10!D27</f>
        <v>szt.</v>
      </c>
      <c r="E30" s="17" t="str">
        <f>+System10!E27</f>
        <v>cena/szt.</v>
      </c>
      <c r="F30" s="17" t="str">
        <f>+System10!F27</f>
        <v>cena w sumie</v>
      </c>
      <c r="G30" s="18" t="str">
        <f>+System10!G27</f>
        <v>w sumie netto:</v>
      </c>
      <c r="I30" s="16" t="str">
        <f>texty!A29</f>
        <v>Uwagi: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Tor górny: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Tor dolny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zł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zaślepka toru dolnego</v>
      </c>
      <c r="B33" s="15">
        <v>216362</v>
      </c>
      <c r="C33" s="23" t="str">
        <f>+VLOOKUP(B33,cennik!A:G,2,FALSE)</f>
        <v>SEVROLL zaślepka gumowa do toru Simple/Blue przeźroczysta</v>
      </c>
      <c r="D33" s="15">
        <f>CEILING(C4/1000,1)</f>
        <v>0</v>
      </c>
      <c r="E33" s="86">
        <f>+VLOOKUP(B33,cennik!A:G,3,FALSE)</f>
        <v>3.4045299999999998</v>
      </c>
      <c r="F33" s="86">
        <f t="shared" si="0"/>
        <v>0</v>
      </c>
      <c r="G33" s="87">
        <f>+F33*(100-G29)/100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górne wózki</v>
      </c>
      <c r="B34" s="15">
        <v>349943</v>
      </c>
      <c r="C34" s="23" t="str">
        <f>+VLOOKUP(B34,cennik!A:G,2,FALSE)</f>
        <v>SEVROLL wózek górny Blue 10mm symetryczny L+P</v>
      </c>
      <c r="D34" s="15">
        <f>+D4</f>
        <v>0</v>
      </c>
      <c r="E34" s="86">
        <f>+VLOOKUP(B34,cennik!A:G,3,FALSE)</f>
        <v>15.244389999999999</v>
      </c>
      <c r="F34" s="86">
        <f t="shared" si="0"/>
        <v>0</v>
      </c>
      <c r="G34" s="87">
        <f>+F34*(100-G29)/100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dolne wózki</v>
      </c>
      <c r="B35" s="15">
        <v>229446</v>
      </c>
      <c r="C35" s="23" t="str">
        <f>+VLOOKUP(B35,cennik!A:G,2,FALSE)</f>
        <v>SEVROLL wózek dolny Simple/Blue V (system ramowy) - 2szt</v>
      </c>
      <c r="D35" s="15">
        <f>+D4</f>
        <v>0</v>
      </c>
      <c r="E35" s="86">
        <f>+VLOOKUP(B35,cennik!A:G,3,FALSE)</f>
        <v>16.17259</v>
      </c>
      <c r="F35" s="86">
        <f t="shared" si="0"/>
        <v>0</v>
      </c>
      <c r="G35" s="87">
        <f>+F35*(100-G29)/100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>pozycjoner</v>
      </c>
      <c r="B36" s="589">
        <v>229681</v>
      </c>
      <c r="C36" s="23" t="str">
        <f>+VLOOKUP(B36,cennik!A:G,2,FALSE)</f>
        <v>SEVROLL Simple/Blue pozycjoner wózka dolnego</v>
      </c>
      <c r="D36" s="15">
        <f>+D4</f>
        <v>0</v>
      </c>
      <c r="E36" s="86">
        <f>+VLOOKUP(B36,cennik!A:G,3,FALSE)</f>
        <v>1.2257</v>
      </c>
      <c r="F36" s="86">
        <f t="shared" si="0"/>
        <v>0</v>
      </c>
      <c r="G36" s="87">
        <f>+F36*(100-G29)/100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szczotka odbojowa</v>
      </c>
      <c r="B37" s="15">
        <v>98067</v>
      </c>
      <c r="C37" s="23" t="str">
        <f>+VLOOKUP(B37,cennik!A:G,2,FALSE)</f>
        <v>SEVROLL szczotka odbojowa zasuwana 14,5x4 mm</v>
      </c>
      <c r="D37" s="15">
        <f>CEILING((B4*D4*2/1000),1)</f>
        <v>0</v>
      </c>
      <c r="E37" s="86">
        <f>+VLOOKUP(B37,cennik!A:G,3,FALSE)</f>
        <v>1.224</v>
      </c>
      <c r="F37" s="86">
        <f t="shared" si="0"/>
        <v>0</v>
      </c>
      <c r="G37" s="87">
        <f>+F37*(100-G29)/100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rączka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śruba łącząca</v>
      </c>
      <c r="B39" s="5">
        <v>89244</v>
      </c>
      <c r="C39" s="23" t="str">
        <f>+VLOOKUP(B39,cennik!A:G,2,FALSE)</f>
        <v>SEVROLL blachowkręt 6,3x32 SEVROLL i Simple</v>
      </c>
      <c r="D39" s="15">
        <f>+D4*4</f>
        <v>0</v>
      </c>
      <c r="E39" s="86">
        <f>+VLOOKUP(B39,cennik!A:G,3,FALSE)</f>
        <v>0.52500000000000002</v>
      </c>
      <c r="F39" s="86">
        <f>+E39*D39</f>
        <v>0</v>
      </c>
      <c r="G39" s="87">
        <f>+F39*(100-G29)/100</f>
        <v>0</v>
      </c>
      <c r="H39" s="5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listwa pozioma górna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zł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listwa pozioma górna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zł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poziomy dolny profil ramy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zł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poziomy dolny profil ramy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zł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Akcesoria:</v>
      </c>
      <c r="B45" s="7"/>
      <c r="D45" s="24" t="str">
        <f>System10!D41</f>
        <v>podaj ilość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pozycjoner wózka górnego</v>
      </c>
      <c r="B46" s="7">
        <v>298035</v>
      </c>
      <c r="C46" s="23" t="str">
        <f>+VLOOKUP(B46,cennik!A:G,2,FALSE)</f>
        <v>SEVROLL Fix pozycjoner wózka górnego transparentny</v>
      </c>
      <c r="D46" s="27"/>
      <c r="E46" s="86">
        <f>+VLOOKUP(B46,cennik!A:G,3,FALSE)</f>
        <v>3.74519</v>
      </c>
      <c r="F46" s="91">
        <f>+CEILING(D46,1)*E46</f>
        <v>0</v>
      </c>
      <c r="G46" s="87">
        <f>+F46*(100-G29)/100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pozycjoner</v>
      </c>
      <c r="B47" s="589">
        <v>229681</v>
      </c>
      <c r="C47" s="23" t="str">
        <f>+VLOOKUP(B47,cennik!A:G,2,FALSE)</f>
        <v>SEVROLL Simple/Blue pozycjoner wózka dolnego</v>
      </c>
      <c r="D47" s="27"/>
      <c r="E47" s="86">
        <f>+VLOOKUP(B47,cennik!A:G,3,FALSE)</f>
        <v>1.2257</v>
      </c>
      <c r="F47" s="91">
        <f>+CEILING(D47,1)*E47</f>
        <v>0</v>
      </c>
      <c r="G47" s="87">
        <f>+F47*(100-G29)/100</f>
        <v>0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Wkręt do dolnego toru</v>
      </c>
      <c r="B48" s="7">
        <v>98019</v>
      </c>
      <c r="C48" s="23" t="str">
        <f>+VLOOKUP(B48,cennik!A:G,2,FALSE)</f>
        <v>SEVROLL wkręt 2,5x18mm</v>
      </c>
      <c r="D48" s="27"/>
      <c r="E48" s="86">
        <f>+VLOOKUP(B48,cennik!A:G,3,FALSE)</f>
        <v>0.10996</v>
      </c>
      <c r="F48" s="91">
        <f>+CEILING(D48,1)*E48</f>
        <v>0</v>
      </c>
      <c r="G48" s="87">
        <f>+F48*(100-G29)/100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profil łączący H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profil łączący H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profil łączący H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 Tłumienie MINI do 25 kg (para)</v>
      </c>
      <c r="B52" s="15">
        <v>350024</v>
      </c>
      <c r="C52" s="23" t="str">
        <f>+VLOOKUP(B52,cennik!A:G,2,FALSE)</f>
        <v>SEVROLL tłumienie Simple/Blue 10/18 25kg L+P</v>
      </c>
      <c r="D52" s="408"/>
      <c r="E52" s="86">
        <f>+VLOOKUP(B52,cennik!A:G,3,FALSE)</f>
        <v>109.51739999999999</v>
      </c>
      <c r="F52" s="91">
        <f>+CEILING(D52,1)*E52</f>
        <v>0</v>
      </c>
      <c r="G52" s="87">
        <f>+F52*(100-G29)/100</f>
        <v>0</v>
      </c>
      <c r="H52" s="5" t="str">
        <f>cennik!B2</f>
        <v>zł</v>
      </c>
      <c r="I52" s="363" t="str">
        <f>IFERROR(IF((VLOOKUP(B52,cennik!A:L,12,0))="O",texty!A250,""),"")</f>
        <v>Na zamówienie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 Tłumienie MINI do 40 kg (para)</v>
      </c>
      <c r="B53" s="22">
        <v>293776</v>
      </c>
      <c r="C53" s="23" t="str">
        <f>+VLOOKUP(B53,cennik!A:G,2,FALSE)</f>
        <v>SEVROLL tłumienie Simple/Blue 10/18, 25 - 40kg, L+P</v>
      </c>
      <c r="D53" s="27"/>
      <c r="E53" s="86">
        <f>+VLOOKUP(B53,cennik!A:G,3,FALSE)</f>
        <v>109.51739999999999</v>
      </c>
      <c r="F53" s="91">
        <f>+CEILING(D53,1)*E53</f>
        <v>0</v>
      </c>
      <c r="G53" s="87">
        <f>+F53*(100-G29)/100</f>
        <v>0</v>
      </c>
      <c r="H53" s="5" t="str">
        <f>cennik!B2</f>
        <v>zł</v>
      </c>
      <c r="I53" s="363" t="str">
        <f>IFERROR(IF((VLOOKUP(B53,cennik!A:L,12,0))="O",texty!A250,""),"")</f>
        <v>Na zamówienie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śruba łącząca</v>
      </c>
      <c r="B57" s="15">
        <v>89244</v>
      </c>
      <c r="C57" s="23" t="str">
        <f>+VLOOKUP(B57,cennik!A:G,2,FALSE)</f>
        <v>SEVROLL blachowkręt 6,3x32 SEVROLL i Simple</v>
      </c>
      <c r="D57" s="28"/>
      <c r="E57" s="86">
        <f>+VLOOKUP(B57,cennik!A:G,3,FALSE)</f>
        <v>0.52500000000000002</v>
      </c>
      <c r="F57" s="86">
        <f>+E57*D57</f>
        <v>0</v>
      </c>
      <c r="G57" s="87">
        <f>+F57*(100-G29)/100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Długość uszczelki w przypadku całkowitego zaszklenia (należy zamówić całe metry)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(w przypadku kombinacji z profilami H należy dodać odpowiednią długość - uszczelka musi być na całym obwodzie każdego szkła)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uszczelka na szkło 4mm</v>
      </c>
      <c r="B63" s="15">
        <v>89238</v>
      </c>
      <c r="C63" s="23" t="str">
        <f>+VLOOKUP(B63,cennik!A:G,2,FALSE)</f>
        <v>SEVROLL uszczelka do szkła 10/4 mm</v>
      </c>
      <c r="D63" s="41"/>
      <c r="E63" s="86">
        <f>+VLOOKUP(B63,cennik!A:G,3,FALSE)</f>
        <v>2.7501000000000002</v>
      </c>
      <c r="F63" s="91">
        <f>+CEILING(D63,1)*E63</f>
        <v>0</v>
      </c>
      <c r="G63" s="87">
        <f>+F63*(100-G29)/100</f>
        <v>0</v>
      </c>
      <c r="H63" s="5" t="str">
        <f>cennik!B2</f>
        <v>zł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uszczelka na szkło 4,5mm</v>
      </c>
      <c r="B64" s="15">
        <v>135164</v>
      </c>
      <c r="C64" s="23" t="str">
        <f>+VLOOKUP(B64,cennik!A:G,2,FALSE)</f>
        <v>SEVROLL uszczelka bezbarwna 10/4,5mm</v>
      </c>
      <c r="D64" s="41"/>
      <c r="E64" s="86">
        <f>+VLOOKUP(B64,cennik!A:G,3,FALSE)</f>
        <v>2.7501000000000002</v>
      </c>
      <c r="F64" s="91">
        <f>+CEILING(D64,1)*E64</f>
        <v>0</v>
      </c>
      <c r="G64" s="87">
        <f>+F64*(100-G29)/100</f>
        <v>0</v>
      </c>
      <c r="H64" s="5" t="str">
        <f>cennik!B2</f>
        <v>zł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uszczelka na szkło 6mm</v>
      </c>
      <c r="B65" s="15">
        <v>89243</v>
      </c>
      <c r="C65" s="23" t="str">
        <f>+VLOOKUP(B65,cennik!A:G,2,FALSE)</f>
        <v>SEVROLL uszczelka bezbarwna 10/6mm</v>
      </c>
      <c r="D65" s="41"/>
      <c r="E65" s="86">
        <f>+VLOOKUP(B65,cennik!A:G,3,FALSE)</f>
        <v>2.7501000000000002</v>
      </c>
      <c r="F65" s="91">
        <f>+CEILING(D65,1)*E65</f>
        <v>0</v>
      </c>
      <c r="G65" s="87">
        <f>+F65*(100-G29)/100</f>
        <v>0</v>
      </c>
      <c r="H65" s="5" t="str">
        <f>cennik!B2</f>
        <v>zł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 xml:space="preserve">tutaj można znaleźć inne akcesoria 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rysunek techniczny tego systemu</v>
      </c>
      <c r="B67" s="196">
        <v>128842</v>
      </c>
      <c r="C67" s="474" t="str">
        <f>VLOOKUP(B67,cennik!A:C,2,0)</f>
        <v>SEVROLL wiertło stopniowe 6,5/9,5mm</v>
      </c>
      <c r="D67" s="41"/>
      <c r="E67" s="86">
        <f>+VLOOKUP(B67,cennik!A:G,3,FALSE)</f>
        <v>116.85122</v>
      </c>
      <c r="F67" s="91">
        <f>+CEILING(D67,1)*E67</f>
        <v>0</v>
      </c>
      <c r="G67" s="87">
        <f>F67</f>
        <v>0</v>
      </c>
      <c r="H67" s="5" t="str">
        <f>cennik!B2</f>
        <v>zł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w sumie (bez VAT)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zł</v>
      </c>
      <c r="I69" s="166"/>
      <c r="J69" s="166"/>
      <c r="K69" s="4" t="str">
        <f>texty!A128</f>
        <v>srebrny</v>
      </c>
    </row>
    <row r="70" spans="1:13" ht="12.75" customHeight="1" x14ac:dyDescent="0.25">
      <c r="A70" s="70" t="str">
        <f>System10!A67</f>
        <v>Uwagi</v>
      </c>
      <c r="B70" s="701"/>
      <c r="C70" s="702"/>
      <c r="D70" s="702"/>
      <c r="E70" s="702"/>
      <c r="F70" s="702"/>
      <c r="G70" s="702"/>
      <c r="K70" s="4" t="str">
        <f>texty!A130</f>
        <v>j.brąz</v>
      </c>
    </row>
    <row r="71" spans="1:13" ht="12.75" customHeight="1" x14ac:dyDescent="0.25">
      <c r="A71" s="694" t="str">
        <f>profil!U15</f>
        <v/>
      </c>
      <c r="B71" s="695"/>
      <c r="C71" s="695"/>
      <c r="D71" s="695"/>
      <c r="E71" s="695"/>
      <c r="F71" s="695"/>
      <c r="G71" s="695"/>
    </row>
    <row r="72" spans="1:13" ht="12.75" customHeight="1" x14ac:dyDescent="0.25">
      <c r="A72" s="696" t="str">
        <f>IF(M72=1,texty!A215,IF(J72&gt;0,texty!A214,""))</f>
        <v>niektóre elementy nie są produkowane w wybranej długości</v>
      </c>
      <c r="B72" s="696"/>
      <c r="C72" s="696"/>
      <c r="D72" s="696"/>
      <c r="E72" s="696"/>
      <c r="F72" s="696"/>
      <c r="G72" s="696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texty!A262</f>
        <v>Arte (ramowe)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Katalog Okuć meblowych 2024 str. 7.56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rozmiar wypełnienia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598" t="str">
        <f>texty!A242</f>
        <v>dylatacja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447">
        <v>496998</v>
      </c>
      <c r="C31" s="23" t="str">
        <f>+VLOOKUP(B31,cennik!A:G,2,FALSE)</f>
        <v>SEVROLL 05689 GM 18 wózek górny 18mm - 2 szt.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447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śruba łącząca</v>
      </c>
      <c r="B35" s="447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listwa pozioma górna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listwa pozioma górna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poziomy dolny profil ramy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poziomy dolny profil ramy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447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447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447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415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415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415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415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447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415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415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 łączący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 łączący H25-3metry</v>
      </c>
      <c r="B53" s="447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447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447" t="s">
        <v>67</v>
      </c>
      <c r="C61" s="23" t="str">
        <f>+VLOOKUP(B61,cennik!A:G,2,FALSE)</f>
        <v>SEVROLL uszczelka bezbarwna 18/4-4,5 mm asymetryczna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76">
        <v>129677</v>
      </c>
      <c r="C65" s="477" t="str">
        <f>VLOOKUP(B65,cennik!A:C,2,0)</f>
        <v>SEVROLL element montażowy do płyty laminowanej 10mm mały</v>
      </c>
      <c r="D65" s="355"/>
      <c r="E65" s="86">
        <f>+VLOOKUP(B65,cennik!A:G,3,FALSE)</f>
        <v>51.590769999999999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data!J17</f>
        <v> czarny mat</v>
      </c>
      <c r="M70" s="19"/>
    </row>
    <row r="71" spans="1:14" ht="12.75" customHeight="1" x14ac:dyDescent="0.25">
      <c r="A71" s="678" t="str">
        <f>IF(N71=1,texty!A215,IF(K71&gt;0,texty!A214,""))</f>
        <v>niektóre elementy nie są produkowane w wybranej długości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0:I21"/>
    <mergeCell ref="I22:I23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3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4.4" x14ac:dyDescent="0.3">
      <c r="A2" t="str">
        <f>IF($G$1=1,B2,IF($G$1=2,D2,IF($G$1=3,E2,IF($G$1=4,C2,IF($G$1=5,I2,IF($G$1=6,J2,IF($G$1=7,K2,"zadat jazyk")))))))</f>
        <v>druga listwa nie jest potrzebna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ta pozycja jest na zamówienie, dostawa do 4 tygodni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do tego koloru nie jest dostępny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j.brąz szczotkowany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Jeżeli wykorzystasz jako wypełnienie szkło/lustro, dodatkowo zamów uszczelkę. Długość uszczelki na jedno skrzydło to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Jeżeli wykorzystasz jako wypełnienie szkło/lustro, dodatkowo zamów uszczelkę. Długość uszczelki na jedno skrzydło to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 xml:space="preserve"> m, jeżeli masz więcej skrzydeł ze szklanym wypełnieniem, musisz tę liczbę pomnożyć.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szt, jeżeli masz więcej skrzydeł ze szklanym wypełnieniem, musisz tę liczbę pomnożyć.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Długość uszczelki w przypadku całkowitego zaszklenia (należy zamówić całe metry)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Długość uszczelki w przypadku całkowitego zaszklenia (należy zamówić całe metry)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(w przypadku kombinacji z profilami H należy dodać odpowiednią długość - uszczelka musi być na całym obwodzie każdego szkła)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(w przypadku kombinacji z profilami H należy dodać odpowiednią długość - uszczelka musi być na całym obwodzie każdego szkła)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Uwagi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w sumie (bez VAT)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nazwa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szt.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cena/szt.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cena w sumie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w sumie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partnerska zniżka: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OKUCIA DO SZAF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Klient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Nazwa: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Ulica: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Miasto, kod pocztowy: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NIP: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Zniżka: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Uwagi: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Grubość wypełnienia 10mm (szkło albo lustro z wykorzystaniem uszczelek - gr.4 lub 6mm) - drzwi z ramami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Grubość wypełnienia 4mm (szkło albo lustro) - drzwi z ramami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Wypełnienie 18mm (płyta wiórowa 18mm, ewentualnie DTD + szkło / lustro):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podaj ilość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wysokość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szerokość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ilość drzwi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kolor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rodzaj toru dolnego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W przypadku wykorzystania szkła,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>należy wybrać bezpieczną szybę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ew. zabezpieczyć ją folią ochronną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U szklanych wypełnień (lub lustra)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Maksymalna waga skrzydła to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Maksymalna waga skrzydła to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wypełnij 5 pól !!!!! informacje w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wypełnij 4 pola !!!! Informacje w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skrzydło drzwi: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rozmiar wypełnienia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rozmiar wypełnienia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rozmiar lustra / 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długość rączki (+ 2 mm 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dodatkowe zmniejszenie wysokośći wyliczonych wypełnień przy wykorzystaniu profili dzielących: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zmniejszenie wysokości ze względu na wykorzystanie szklanego wypełnienia = 4mm (2mm z każdej strony)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patrz obrazek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j.brąz szczotkowany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wysokość aż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wysokość aż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 xml:space="preserve">Do kompletu można dodać folię ozdobną, patrz wzornik. Ceny różnią się w zależności od dekoru, część z nich jest na zamówienie.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cena różnią się w zależności od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system GM 18 (kombinacja PW 18 mm i szkła) (ramowy)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system Simple (kombinacja PW 18 mm i szkła)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rozmiar wypełnienia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Nie można łączyć ze szkłem / lustrem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ta pozycja jest na zamówienie, dostawa do 4 tygodni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Akcesoria: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 xml:space="preserve">powierzchnia przeznaczona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 xml:space="preserve">do   folii dekoracyjnej 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Systemy:       Wzornik profili można zamówić pod kodem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WEWNĘTRZNY ROZMIAR SZAFY: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skrzydło drzwi: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rozmiar wypełnienia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rozmiar lustra /szkła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długość toru i listwy maskującej skrzydła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Tor górny / dolny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rączka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 xml:space="preserve">Długość uszczelki na jedno skrzydło to 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dodatkowe zmniejszenie wysokośći wyliczonych wypełnień przy wykorzystaniu profili dzielących: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zmniejszenie wysokości ze względu na wykorzystanie uszczelki: 2mm/1strona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Kody zamówieniowe,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Tor górny: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Tor dolny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profil maskujący (maskownica):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górne wózki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dolne wózki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pozycjoner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pozycjoner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pozycjoner wózka górnego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szczotka odbojowa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szczotka przeciwkurzowa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rączka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śruba łącząca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listwa pozioma górna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listwa pozioma górna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poziomy dolny profil ramy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poziomy dolny profil ramy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tłumienie (para)25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tłumienie (para)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tłumienie Simple (para)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profil łączący H10-3metry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profil łączący H30-3metry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uszczelka na szkło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uszczelka na szkło 4,5mm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uszczelka na szkło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uszczelka na szkło 4mm niesymetryczna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tor górny: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Tor dolny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profil maskujący = maskownica: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górne wózki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dolne wózki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>pozycjoner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szczotka przeciwkurzowa samoprzylepna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rączka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profil łączący H18-3metry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Teownik -3metry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Teownik decor -3metry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na DTD 18mm- 3 metry /gładki/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na DTD 18mm- 3 metry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kątownik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kątownik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kątownik mini 11x17mm - 3,00m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kątownik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kątownik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kątownik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tłumienie (szt)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PW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szkło / lustro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srebrny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złoty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j.brąz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j.brąz szczotkowany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 biały połysk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Wyprzedaż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Wypełnij dane kontaktowe, możesz również podać swoją zniżkę. Dane pokażą się na poszczególnych stronach.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Wybierz rączkę (kliknij na nazwę profilu pod obrazkiem)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Na stronie z komponentami profilu, podaj rozmiar otworu.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Napisz z ilu drzwi będzie się składać komplet.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Wybierz kolor profilu (kliknij na pole z kolorem, następnie na okno ze strzałką - pojawi się lista, z której możesz wybrać kolor)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Jeśli chcesz, aby drzwi były podzielone profilami, w dolnej części formularza podaj potrzebną ilość listw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Przy wykorzystaniu szkła lub lustra należy dodać profil uszczelniający. Ze względu na możliwą kombinację szkła z deskami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 nie można wcześniej określić długości uszczelki. W komplecie, długość uszczelki jest wyliczona na jedno skrzydło.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Długość jest obliczona również w przypadku, że cały komplet składa się tylko ze szkła / lustra.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Przy cięciu profila jest liczona szerokość cięcia 5 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Instrukcja: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Wzornik folii.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Oprócz dekorów zaznaczonych kolorem zielonym wszystkie folie są na zamówienie.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Kolory na obrazkach są tylko orientacyjne, faktyczna barwa może być zmieniona np. ustawieniem monitora itp.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Na żądanie możemy wysłać fizyczny wzornik 179111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skladem = na magazynie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do tego koloru nie jest wymagany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NOWOŚĆ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NOWOŚĆ, tylko na zamówienie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Na podstawie danych dostarczonych przez producenta. Szczególnie w przypadku produkcji masowej, należy najpierw przeprowadzić test. Zastrzega się możliwość wystąpienia błędów.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 xml:space="preserve">Podaj kolor folii (w opakowaniu 14,7 mb, szerokość 4 cm) 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Podaj liczbę metrów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Podaj liczbę opakowań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Wyprzedaż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 xml:space="preserve">Jeżeli dodatkowo zamówisz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otrzymasz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tłumienie gratis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na stanie magazynowym dostępne są kpl. na 2 i 3 skrzydła o długości 1,8 m (2skrz.), 2,5 m (3 szkrz.) oraz 2,7 m (2skrz.)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profil innowacyjny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szczotka nasuwana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aktualnie dostępne na stanie magazynowym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niektóre pozycje mogą być dostępne tylko na zamówienie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profil łączący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profil łączący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profil łączący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profil łączący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 Zalecamy dokupić jeszcze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 xml:space="preserve"> szt tłumienia, dla komletnego tłumienia zestawu 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Tłumienie przesuwanych drzwi SEVROLL - AKCJA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>
        <f t="shared" si="2"/>
        <v>0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>
        <f t="shared" si="2"/>
        <v>0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>
        <f t="shared" si="2"/>
        <v>0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Wkręt do dolnego toru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kątownik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kątownik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kątownik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kątownik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kątownik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kątownik 20x26mm - 3,6m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profil łączący H - 3metry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szczot.czarna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szczot.oliwa ciemna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profil łączący H25 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 xml:space="preserve">tutaj można znaleźć inne akcesoria 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>
        <f t="shared" si="2"/>
        <v>0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>
        <f t="shared" si="2"/>
        <v>0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Powrót do strony głównej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Maksymalny wymiar skrzydła w lustrze 2400x700mm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Proste tory do systemow: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Klamra szczotki odbojowej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Moźliwosc dostarczenia kompletow okućia i profili: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Zestaw 2 skrz.(szer. 1,8m, zawiera komplet profili 182716 + komplet akcesoriów 95054)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Zestaw 3 skrz.(szer. 2,5m, zawiera komplet profili 188479 + komplet akcesoriów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Zamówione produkty kompletów nie są identyczne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szczot.czarna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szczot.oliwa ciemna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profil łączący H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profil łączący H21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profil łączący H28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>Blue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System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Mozesz napisać zmiany, komentarze w pole Uwagi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 xml:space="preserve">wsuwana szczotka przeciwkurzowa 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zaślepka toru dolnego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W wypadku dwóch zakładek (punktów nałożenia) do obliczenia rozmiaru skrzydeł można wpisać połowę szerokości oraz 2 skrzydła.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Skrzydła w wybranej konfiguracji są wąskie i wysokie, w wypadku wersji z tłumieniem może dochodzić do ich odbijania.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FOLIE OCHRONNE DO SZYB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Niektóre pozycje są na zamówienie, termin dostawy wynosi około 5 tygodni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niektóre elementy nie są produkowane w wybranej długości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LAKIEROWANIE PROFILI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można pomalować na jakikolwiek odcień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 opcja połysk / matowy (należy wpisać w zamówieniu)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ograniczenie do długości maks.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(bezramowe)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(ramowy)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 System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Instrukcja montażu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http://www.demos24plus.com/_Catalogs/pl/Kovani2014/index.html#488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http://www.demos24plus.com/_Catalogs/pl/Kovani2014/index.html#484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http://www.demos24plus.com/_Catalogs/pl/Kovani2014/index.html#472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 Jeśli wybrali Państwo 4 skrzydła, musicie wybrać również ilość przekryć (2 lub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 Tłumienie MINI do 25 kg (para)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 Tłumienie MINI do 40 kg (para)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 Tłumienie MINI do 60 kg (para)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 xml:space="preserve"> Tłumienie do skrzydła środkowego do 25 kg 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 xml:space="preserve"> Tłumienie do skrzydła środkowego do 40 kg 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 Wzmocnienie –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 Zaślepka otworu (4 szt. 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 Maksymalna szerokość skrzydła może wynosić 1 100 mm !!!!!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Uchwyt naklejany, biały połysk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 Uchwyt naklejany, srebrny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 Folia do dekorowania profili (naklejana)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 w tym kolorze i długości dany profil nie jest produkowany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zamek do drzwi przesuwnych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zacisk do dylatacji wypełnienia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dylatacja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Katalog Okuć meblowych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rysunek techniczny tego systemu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!!!! W przypadku zastosowania tłumienia centralnego należy zmniejszyć wysokość skrzydła (ale jedynie tego skrzydła, gdzie znajduje się tłumienie) o kolejne 2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!!!! W przypadku zastosowania tłumienia centralnego należy zmniejszyć wysokość skrzydła (ale jedynie tego skrzydła, gdzie znajduje się tłumienie) o kolejne 4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!!!! W przypadku zastosowania tłumienia MINI SV należy zmniejszyć wysokość skrzydła o kolejne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!!!! W przypadku zastosowania tłumienia centralnego należy zmniejszyć wysokość skrzydła (ale jedynie tego skrzydła, gdzie znajduje się tłumienie) o kolejne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!!!! W przypadku zastosowania tłumienia centralnego należy zmniejszyć wysokość skrzydła (ale jedynie tego skrzydła, gdzie znajduje się tłumienie) o kolejne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Na zamówienie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profil łączący H18-3metry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profil łączący H25-3metry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system GM 18 (kombinacja PW 18 mm i szkła) (bezramowe)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(ramowe)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(bezramowe)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(ramowe)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(bezramowe)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(ramowe)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(bezramowe)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(ramowe)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(bezramowe)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(ramowe)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(bezramowe)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czarny lakier strukturalny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profil łączący H08/18 - 3metry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rączka 100mm czarny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rączka 100 mm, biała matowa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rączka 100mm czarny połysk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rączka 100mm srebrna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rączka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rączka 100mm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rączka 100mm  oliwka ciemna szczotkowana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rączka 100mm czarny lakier strukturalny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Male probki profilowe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kod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4">
        <v>462140</v>
      </c>
      <c r="E277" s="130" t="str">
        <f>A267</f>
        <v>Alfa II rączka 100mm czarny mat</v>
      </c>
    </row>
    <row r="278" spans="1:11" ht="14.4" x14ac:dyDescent="0.25">
      <c r="D278" s="574">
        <v>462141</v>
      </c>
      <c r="E278" s="130" t="str">
        <f t="shared" ref="E278:E284" si="5">A268</f>
        <v>Faworyt II rączka 100 mm, biała matowa</v>
      </c>
    </row>
    <row r="279" spans="1:11" ht="14.4" x14ac:dyDescent="0.25">
      <c r="D279" s="574">
        <v>462142</v>
      </c>
      <c r="E279" s="130" t="str">
        <f t="shared" si="5"/>
        <v>Fox II rączka 100mm czarny połysk</v>
      </c>
    </row>
    <row r="280" spans="1:11" ht="14.4" x14ac:dyDescent="0.25">
      <c r="D280" s="574">
        <v>462153</v>
      </c>
      <c r="E280" s="130" t="str">
        <f t="shared" si="5"/>
        <v>Vitara rączka 100mm srebrna</v>
      </c>
    </row>
    <row r="281" spans="1:11" ht="14.4" x14ac:dyDescent="0.25">
      <c r="D281" s="574">
        <v>462154</v>
      </c>
      <c r="E281" s="130" t="str">
        <f t="shared" si="5"/>
        <v>Lynx rączka 100mm oliva</v>
      </c>
    </row>
    <row r="282" spans="1:11" ht="14.4" x14ac:dyDescent="0.25">
      <c r="D282" s="574">
        <v>495479</v>
      </c>
      <c r="E282" s="130" t="str">
        <f t="shared" si="5"/>
        <v>Alfa II rączka 100mm grafit</v>
      </c>
    </row>
    <row r="283" spans="1:11" ht="14.4" x14ac:dyDescent="0.25">
      <c r="D283" s="574">
        <v>524036</v>
      </c>
      <c r="E283" s="130" t="str">
        <f t="shared" si="5"/>
        <v>Victoria II rączka 100mm  oliwka ciemna szczotkowana</v>
      </c>
    </row>
    <row r="284" spans="1:11" ht="14.4" x14ac:dyDescent="0.3">
      <c r="D284" s="575">
        <v>526554</v>
      </c>
      <c r="E284" s="130" t="str">
        <f t="shared" si="5"/>
        <v>Alfa II rączka 100mm czarny lakier strukturalny</v>
      </c>
    </row>
    <row r="287" spans="1:11" ht="14.4" x14ac:dyDescent="0.3">
      <c r="D287" s="572"/>
      <c r="E287" s="572"/>
      <c r="F287" s="572"/>
      <c r="G287" s="572"/>
      <c r="H287" s="572"/>
    </row>
    <row r="288" spans="1:11" ht="14.4" x14ac:dyDescent="0.3">
      <c r="D288" s="573"/>
      <c r="E288" s="572"/>
      <c r="G288" s="572"/>
    </row>
    <row r="289" spans="4:7" ht="14.4" x14ac:dyDescent="0.3">
      <c r="D289" s="573"/>
      <c r="E289" s="572"/>
      <c r="G289" s="572"/>
    </row>
    <row r="290" spans="4:7" ht="14.4" x14ac:dyDescent="0.3">
      <c r="D290" s="573"/>
      <c r="E290" s="572"/>
      <c r="G290" s="572"/>
    </row>
    <row r="291" spans="4:7" ht="14.4" x14ac:dyDescent="0.3">
      <c r="D291" s="573"/>
      <c r="E291" s="572"/>
      <c r="G291" s="572"/>
    </row>
    <row r="292" spans="4:7" ht="14.4" x14ac:dyDescent="0.3">
      <c r="D292" s="573"/>
      <c r="E292" s="572"/>
      <c r="G292" s="572"/>
    </row>
    <row r="293" spans="4:7" ht="14.4" x14ac:dyDescent="0.3">
      <c r="D293" s="573"/>
      <c r="E293" s="572"/>
      <c r="G293" s="572"/>
    </row>
    <row r="294" spans="4:7" ht="14.4" x14ac:dyDescent="0.3">
      <c r="D294" s="573"/>
      <c r="E294" s="572"/>
      <c r="G294" s="572"/>
    </row>
    <row r="295" spans="4:7" ht="14.4" x14ac:dyDescent="0.3">
      <c r="D295" s="573"/>
      <c r="E295" s="572"/>
      <c r="G295" s="572"/>
    </row>
    <row r="296" spans="4:7" ht="14.4" x14ac:dyDescent="0.3">
      <c r="D296" s="573"/>
      <c r="E296" s="572"/>
      <c r="G296" s="572"/>
    </row>
    <row r="297" spans="4:7" ht="14.4" x14ac:dyDescent="0.3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texty!A263</f>
        <v>Arte (bezramowe)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",7,".",35)</f>
        <v>Katalog Okuć meblowych 2024 str. 7.35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skrzydło drzwi: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rozmiar wypełnienia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494"/>
      <c r="C11" s="495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6.5" customHeight="1" x14ac:dyDescent="0.25">
      <c r="A20" s="320"/>
      <c r="B20" s="376"/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447">
        <v>496997</v>
      </c>
      <c r="C31" s="23" t="str">
        <f>+VLOOKUP(B31,cennik!A:G,2,FALSE)</f>
        <v>SEVROLL 05689 GM 18 wózek górny 18mm - 2 szt.</v>
      </c>
      <c r="D31" s="15">
        <f>IF((D50+D51)&gt;D4,0,D4-(D50+D51))</f>
        <v>0</v>
      </c>
      <c r="E31" s="86">
        <f>+VLOOKUP(B31,cennik!A:G,3,FALSE)</f>
        <v>16.1568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447">
        <f>IF(F4=M68,362316,229440)</f>
        <v>229440</v>
      </c>
      <c r="C32" s="23" t="str">
        <f>+VLOOKUP(B32,cennik!A:G,2,FALSE)</f>
        <v>SEVROLL wózek dolny WD 18C HI-TEC - 2szt</v>
      </c>
      <c r="D32" s="15">
        <f>+D4</f>
        <v>0</v>
      </c>
      <c r="E32" s="86">
        <f>+VLOOKUP(B32,cennik!A:G,3,FALSE)</f>
        <v>17.546399999999998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5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5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5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5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447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447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447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415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415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415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415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447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415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415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 łączący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 łączący H25-3metry</v>
      </c>
      <c r="B53" s="447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447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447" t="s">
        <v>67</v>
      </c>
      <c r="C61" s="23" t="str">
        <f>+VLOOKUP(B61,cennik!A:G,2,FALSE)</f>
        <v>SEVROLL uszczelka bezbarwna 18/4-4,5 mm asymetryczna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rysunek techniczny tego systemu</v>
      </c>
      <c r="B65" s="476">
        <v>129677</v>
      </c>
      <c r="C65" s="478" t="str">
        <f>VLOOKUP(B65,cennik!A:C,2,0)</f>
        <v>SEVROLL element montażowy do płyty laminowanej 10mm mały</v>
      </c>
      <c r="D65" s="355"/>
      <c r="E65" s="86">
        <f>+VLOOKUP(B65,cennik!A:G,3,FALSE)</f>
        <v>51.590769999999999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76">
        <v>128842</v>
      </c>
      <c r="C66" s="478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data!J17</f>
        <v> czarny mat</v>
      </c>
      <c r="M70" s="19"/>
    </row>
    <row r="71" spans="1:14" ht="12.75" hidden="1" customHeight="1" x14ac:dyDescent="0.25">
      <c r="A71" s="678" t="str">
        <f>IF(N71=1,texty!A215,IF(K71&gt;0,texty!A214,""))</f>
        <v>niektóre elementy nie są produkowane w wybranej długości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texty!A256</f>
        <v>Porto GM (ramowe)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Katalog Okuć meblowych 2024 str. 7.56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/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rozmiar wypełnienia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1" t="str">
        <f>IF(SUM(D47:D48)&gt;0,texty!A245,"")</f>
        <v/>
      </c>
      <c r="B14" s="681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6" t="str">
        <f>texty!A242</f>
        <v>dylatacja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447">
        <v>228009</v>
      </c>
      <c r="C31" s="23" t="str">
        <f>+VLOOKUP(B31,cennik!A3:G984,2,FALSE)</f>
        <v>SEVROLL wózek górny Gemini symetryczny 10mm - 2szt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447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śruba łącząca</v>
      </c>
      <c r="B35" s="447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listwa pozioma górna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listwa pozioma górna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poziomy dolny profil ramy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poziomy dolny profil ramy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447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447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447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415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415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415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415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447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415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415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 łączący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 łączący H25-3metry</v>
      </c>
      <c r="B53" s="447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447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447" t="s">
        <v>67</v>
      </c>
      <c r="C61" s="23" t="str">
        <f>+VLOOKUP(B61,cennik!A:G,2,FALSE)</f>
        <v>SEVROLL uszczelka bezbarwna 18/4-4,5 mm asymetryczna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79">
        <v>129677</v>
      </c>
      <c r="C65" s="480" t="str">
        <f>VLOOKUP(B65,cennik!A:C,2,0)</f>
        <v>SEVROLL element montażowy do płyty laminowanej 10mm mały</v>
      </c>
      <c r="D65" s="355"/>
      <c r="E65" s="86">
        <f>+VLOOKUP(B65,cennik!A:G,3,FALSE)</f>
        <v>51.590769999999999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M70" s="19"/>
    </row>
    <row r="71" spans="1:14" ht="12.75" customHeight="1" x14ac:dyDescent="0.25">
      <c r="A71" s="678" t="str">
        <f>IF(N71=1,texty!A215,IF(K71&gt;0,texty!A214,""))</f>
        <v>niektóre elementy nie są produkowane w wybranej długości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20:I21"/>
    <mergeCell ref="I22:I23"/>
    <mergeCell ref="A67:I67"/>
    <mergeCell ref="B69:G69"/>
    <mergeCell ref="A70:H70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texty!A257</f>
        <v>Porto GM (bezramowe)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2" t="str">
        <f>CONCATENATE(texty!A243," ",7,".",56)</f>
        <v>Katalog Okuć meblowych 2024 str. 7.56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>
        <f>IF(L11="jiné",M12,L11)</f>
        <v>1700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rozmiar wypełnienia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Tor górny / dolny</v>
      </c>
      <c r="B9" s="491"/>
      <c r="C9" s="64" t="str">
        <f>TRIM(C4)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rączka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Maksymalna waga skrzydła to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599" t="str">
        <f>texty!A78</f>
        <v>dodatkowe zmniejszenie wysokośći wyliczonych wypełnień przy wykorzystaniu profili dzielących: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górne wózki</v>
      </c>
      <c r="B31" s="447">
        <v>496944</v>
      </c>
      <c r="C31" s="23" t="str">
        <f>+VLOOKUP(B31,cennik!A:G,2,FALSE)</f>
        <v>SEVROLL 05689 GM 18 wózek górny 18mm - 2 szt.</v>
      </c>
      <c r="D31" s="15">
        <f>IF((D45+D46)&gt;D4,0,D4-(D45+D46))</f>
        <v>0</v>
      </c>
      <c r="E31" s="86">
        <f>+VLOOKUP(B31,cennik!A:G,3,FALSE)</f>
        <v>16.1568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dolne wózki</v>
      </c>
      <c r="B32" s="447">
        <v>229440</v>
      </c>
      <c r="C32" s="23" t="str">
        <f>+VLOOKUP(B32,cennik!A:G,2,FALSE)</f>
        <v>SEVROLL wózek dolny WD 18C HI-TEC - 2szt</v>
      </c>
      <c r="D32" s="15">
        <f>+D4</f>
        <v>0</v>
      </c>
      <c r="E32" s="86">
        <f>+VLOOKUP(B32,cennik!A:G,3,FALSE)</f>
        <v>17.546399999999998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szczotka odbojowa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Akcesoria:</v>
      </c>
      <c r="B36" s="15"/>
      <c r="C36" s="19"/>
      <c r="D36" s="343" t="str">
        <f>System10!D41</f>
        <v>podaj ilość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pozycjoner wózka górnego</v>
      </c>
      <c r="B37" s="447">
        <v>298035</v>
      </c>
      <c r="C37" s="23" t="str">
        <f>+VLOOKUP(B37,cennik!A:G,2,FALSE)</f>
        <v>SEVROLL Fix pozycjoner wózka górnego transparentny</v>
      </c>
      <c r="D37" s="278"/>
      <c r="E37" s="86">
        <f>+VLOOKUP(B37,cennik!A:G,3,FALSE)</f>
        <v>3.74519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zł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pozycjoner</v>
      </c>
      <c r="B38" s="447">
        <f>IF(F4="Gemini",387424,89063)</f>
        <v>89063</v>
      </c>
      <c r="C38" s="23" t="str">
        <f>+VLOOKUP(B38,cennik!A:G,2,FALSE)</f>
        <v>SEVROLL pozycjoner wózka dolnego HI-TEC</v>
      </c>
      <c r="D38" s="278"/>
      <c r="E38" s="86">
        <f>+VLOOKUP(B38,cennik!A:G,3,FALSE)</f>
        <v>1.071</v>
      </c>
      <c r="F38" s="91">
        <f t="shared" si="1"/>
        <v>0</v>
      </c>
      <c r="G38" s="87">
        <f>+F38*(100-G26)/100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Tłumienie MINI do 25 kg (para)</v>
      </c>
      <c r="B39" s="447">
        <v>318662</v>
      </c>
      <c r="C39" s="23" t="str">
        <f>+VLOOKUP(B39,cennik!A:G,2,FALSE)</f>
        <v>SEVROLL tłumienie Mini SV25 (14-25kg)</v>
      </c>
      <c r="D39" s="278"/>
      <c r="E39" s="86">
        <f>+VLOOKUP(B39,cennik!A:G,3,FALSE)</f>
        <v>96.889799999999994</v>
      </c>
      <c r="F39" s="91">
        <f t="shared" si="1"/>
        <v>0</v>
      </c>
      <c r="G39" s="87">
        <f>+F39*(100-G26)/100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Tłumienie MINI do 40 kg (para)</v>
      </c>
      <c r="B40" s="415">
        <v>283956</v>
      </c>
      <c r="C40" s="23" t="str">
        <f>+VLOOKUP(B40,cennik!A:G,2,FALSE)</f>
        <v>SEVROLL tłumienie Mini SV40 (25 - 40kg)</v>
      </c>
      <c r="D40" s="278"/>
      <c r="E40" s="86">
        <f>+VLOOKUP(B40,cennik!A:G,3,FALSE)</f>
        <v>96.889799999999994</v>
      </c>
      <c r="F40" s="91">
        <f t="shared" si="1"/>
        <v>0</v>
      </c>
      <c r="G40" s="87">
        <f>+F40*(100-G26)/100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Tłumienie MINI do 60 kg (para)</v>
      </c>
      <c r="B41" s="415">
        <v>351743</v>
      </c>
      <c r="C41" s="23" t="str">
        <f>+VLOOKUP(B41,cennik!A:G,2,FALSE)</f>
        <v>SEVROLL tłumienie Mini SV60 (40 - 60kg)</v>
      </c>
      <c r="D41" s="278"/>
      <c r="E41" s="86">
        <f>+VLOOKUP(B41,cennik!A:G,3,FALSE)</f>
        <v>96.889799999999994</v>
      </c>
      <c r="F41" s="91">
        <f t="shared" si="1"/>
        <v>0</v>
      </c>
      <c r="G41" s="87">
        <f>+F41*(100-G26)/100</f>
        <v>0</v>
      </c>
      <c r="H41" s="22" t="str">
        <f>cennik!B2</f>
        <v>zł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 xml:space="preserve"> Tłumienie do skrzydła środkowego do 25 kg </v>
      </c>
      <c r="B42" s="415">
        <v>318663</v>
      </c>
      <c r="C42" s="23" t="str">
        <f>+VLOOKUP(B42,cennik!A:G,2,FALSE)</f>
        <v>SEVROLL tłumienie Central 10/18mm obustronne 25kg</v>
      </c>
      <c r="D42" s="278"/>
      <c r="E42" s="86">
        <f>+VLOOKUP(B42,cennik!A:G,3,FALSE)</f>
        <v>206.958</v>
      </c>
      <c r="F42" s="91">
        <f t="shared" si="1"/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 xml:space="preserve"> Tłumienie do skrzydła środkowego do 40 kg </v>
      </c>
      <c r="B43" s="415">
        <v>283955</v>
      </c>
      <c r="C43" s="23" t="str">
        <f>+VLOOKUP(B43,cennik!A:G,2,FALSE)</f>
        <v>SEVROLL tłumienie Central 10/18mm obustronne 25-40kg</v>
      </c>
      <c r="D43" s="278"/>
      <c r="E43" s="86">
        <f>+VLOOKUP(B43,cennik!A:G,3,FALSE)</f>
        <v>206.958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Wkręt do dolnego toru</v>
      </c>
      <c r="B44" s="447">
        <v>98019</v>
      </c>
      <c r="C44" s="23" t="str">
        <f>+VLOOKUP(B44,cennik!A:G,2,FALSE)</f>
        <v>SEVROLL wkręt 2,5x18mm</v>
      </c>
      <c r="D44" s="278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tłumienie (para)25 kg</v>
      </c>
      <c r="B45" s="415">
        <v>227185</v>
      </c>
      <c r="C45" s="23" t="str">
        <f>+VLOOKUP(B45,cennik!A:G,2,FALSE)</f>
        <v>K-SEVROLL tłumienie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tłumienie (para) 50 kg</v>
      </c>
      <c r="B46" s="415">
        <v>227187</v>
      </c>
      <c r="C46" s="23" t="str">
        <f>+VLOOKUP(B46,cennik!A:G,2,FALSE)</f>
        <v>K-SEVROLL tłumienie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profil łączący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profil łączący H25-3metry</v>
      </c>
      <c r="B48" s="447" t="str">
        <f>IFERROR(VLOOKUP(P7,data!C891:D893,2,0),"N/A")</f>
        <v>N/A</v>
      </c>
      <c r="C48" s="23" t="str">
        <f>IF(B48=data!D64,texty!A239,+VLOOKUP(B48,cennik!A:G,2,FALSE))</f>
        <v> w tym kolorze i długości dany profil nie jest produkowany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śruba łącząca</v>
      </c>
      <c r="B49" s="447">
        <v>89244</v>
      </c>
      <c r="C49" s="23" t="str">
        <f>+VLOOKUP(B49,cennik!A:G,2,FALSE)</f>
        <v>SEVROLL blachowkręt 6,3x32 SEVROLL i Simple</v>
      </c>
      <c r="D49" s="354"/>
      <c r="E49" s="86">
        <f>+VLOOKUP(B49,cennik!A:G,3,FALSE)</f>
        <v>0.52500000000000002</v>
      </c>
      <c r="F49" s="86">
        <f>+E49*D49</f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 xml:space="preserve">tutaj można znaleźć inne akcesoria 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rysunek techniczny tego systemu</v>
      </c>
      <c r="B60" s="479">
        <v>129677</v>
      </c>
      <c r="C60" s="480" t="str">
        <f>VLOOKUP(B60,cennik!A:C,2,0)</f>
        <v>SEVROLL element montażowy do płyty laminowanej 10mm mały</v>
      </c>
      <c r="D60" s="355"/>
      <c r="E60" s="86">
        <f>+VLOOKUP(B60,cennik!A:G,3,FALSE)</f>
        <v>51.590769999999999</v>
      </c>
      <c r="F60" s="91">
        <f>+CEILING(D60,1)*E60</f>
        <v>0</v>
      </c>
      <c r="G60" s="87">
        <f>+F60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wiertło stopniowe 6,5/9,5mm</v>
      </c>
      <c r="D61" s="355"/>
      <c r="E61" s="86">
        <f>+VLOOKUP(B61,cennik!A:G,3,FALSE)</f>
        <v>116.85122</v>
      </c>
      <c r="F61" s="91">
        <f>+CEILING(D61,1)*E61</f>
        <v>0</v>
      </c>
      <c r="G61" s="87">
        <f>+F61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3" t="str">
        <f>IF(SUM(D45:D46)&gt;0,IF(C7&lt;(B4/3),texty!A212,""),"")</f>
        <v/>
      </c>
      <c r="B62" s="683"/>
      <c r="C62" s="683"/>
      <c r="D62" s="683"/>
      <c r="E62" s="683"/>
      <c r="F62" s="683"/>
      <c r="G62" s="683"/>
      <c r="H62" s="683"/>
      <c r="I62" s="683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w sumie (bez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zł</v>
      </c>
      <c r="I63" s="22"/>
      <c r="J63" s="166"/>
      <c r="K63" s="166"/>
      <c r="L63" s="4" t="str">
        <f>data!J4</f>
        <v>srebrny</v>
      </c>
      <c r="M63" s="19" t="s">
        <v>968</v>
      </c>
    </row>
    <row r="64" spans="1:13" ht="12.75" customHeight="1" x14ac:dyDescent="0.25">
      <c r="A64" s="337" t="str">
        <f>System10!A67</f>
        <v>Uwagi</v>
      </c>
      <c r="B64" s="688"/>
      <c r="C64" s="689"/>
      <c r="D64" s="689"/>
      <c r="E64" s="689"/>
      <c r="F64" s="689"/>
      <c r="G64" s="690"/>
      <c r="H64" s="22"/>
      <c r="I64" s="22"/>
      <c r="L64" s="4" t="str">
        <f>data!J6</f>
        <v>j.brąz</v>
      </c>
      <c r="M64" s="19" t="s">
        <v>42</v>
      </c>
    </row>
    <row r="65" spans="1:14" ht="12.75" customHeight="1" x14ac:dyDescent="0.25">
      <c r="A65" s="687" t="str">
        <f>profil!U15</f>
        <v/>
      </c>
      <c r="B65" s="677"/>
      <c r="C65" s="677"/>
      <c r="D65" s="677"/>
      <c r="E65" s="677"/>
      <c r="F65" s="677"/>
      <c r="G65" s="677"/>
      <c r="H65" s="677"/>
      <c r="I65" s="22"/>
      <c r="M65" s="19"/>
    </row>
    <row r="66" spans="1:14" ht="12.75" customHeight="1" x14ac:dyDescent="0.25">
      <c r="A66" s="678" t="str">
        <f>IF(N66=1,texty!A215,IF(K66&gt;0,texty!A214,""))</f>
        <v>niektóre elementy nie są produkowane w wybranej długości</v>
      </c>
      <c r="B66" s="678"/>
      <c r="C66" s="678"/>
      <c r="D66" s="678"/>
      <c r="E66" s="678"/>
      <c r="F66" s="678"/>
      <c r="G66" s="678"/>
      <c r="H66" s="678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13:B14"/>
    <mergeCell ref="A66:H66"/>
    <mergeCell ref="I20:I21"/>
    <mergeCell ref="I22:I23"/>
    <mergeCell ref="A62:I62"/>
    <mergeCell ref="B64:G64"/>
    <mergeCell ref="A65:H65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texty!A254</f>
        <v>Prosper GM (ramowe)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2" t="str">
        <f>CONCATENATE(texty!A243," ",7,".",56)</f>
        <v>Katalog Okuć meblowych 2024 str. 7.56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rozmiar wypełnienia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dylatacja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447">
        <v>228009</v>
      </c>
      <c r="C31" s="23" t="str">
        <f>+VLOOKUP(B31,cennik!A3:G984,2,FALSE)</f>
        <v>SEVROLL wózek górny Gemini symetryczny 10mm - 2szt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447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śruba łącząca</v>
      </c>
      <c r="B35" s="447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listwa pozioma górna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listwa pozioma górna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poziomy dolny profil ramy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poziomy dolny profil ramy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447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447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447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415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415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415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415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447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415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415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 łączący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 łączący H25-3metry</v>
      </c>
      <c r="B53" s="447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447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447" t="s">
        <v>67</v>
      </c>
      <c r="C61" s="23" t="str">
        <f>+VLOOKUP(B61,cennik!A:G,2,FALSE)</f>
        <v>SEVROLL uszczelka bezbarwna 18/4-4,5 mm asymetryczna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79">
        <v>129677</v>
      </c>
      <c r="C65" s="480" t="str">
        <f>VLOOKUP(B65,cennik!A:C,2,0)</f>
        <v>SEVROLL element montażowy do płyty laminowanej 10mm mały</v>
      </c>
      <c r="D65" s="355"/>
      <c r="E65" s="86">
        <f>+VLOOKUP(B65,cennik!A:G,3,FALSE)</f>
        <v>51.590769999999999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M70" s="19"/>
    </row>
    <row r="71" spans="1:14" ht="12.75" customHeight="1" x14ac:dyDescent="0.25">
      <c r="A71" s="678" t="str">
        <f>IF(N71=1,texty!A215,IF(K71&gt;0,texty!A214,""))</f>
        <v>niektóre elementy nie są produkowane w wybranej długości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2:I23"/>
    <mergeCell ref="I20:I21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texty!A255</f>
        <v>Prosper GM (bezramowe)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2" t="str">
        <f>CONCATENATE(texty!A243," ",7,".",56)</f>
        <v>Katalog Okuć meblowych 2024 str. 7.56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>
        <f>IF(L11="jiné",M12,L11)</f>
        <v>1700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rozmiar wypełnienia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Tor górny / dolny</v>
      </c>
      <c r="B9" s="491"/>
      <c r="C9" s="64" t="str">
        <f>TRIM(C4)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rączka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2"/>
      <c r="D11" s="15"/>
      <c r="E11" s="15"/>
      <c r="F11" s="15"/>
      <c r="G11" s="21" t="str">
        <f>texty!A43</f>
        <v>Maksymalna waga skrzydła to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górne wózki</v>
      </c>
      <c r="B31" s="447">
        <v>496944</v>
      </c>
      <c r="C31" s="23" t="str">
        <f>+VLOOKUP(B31,cennik!A:G,2,FALSE)</f>
        <v>SEVROLL 05689 GM 18 wózek górny 18mm - 2 szt.</v>
      </c>
      <c r="D31" s="15">
        <f>IF((D45+D46)&gt;D4,0,D4-(D45+D46))</f>
        <v>0</v>
      </c>
      <c r="E31" s="86">
        <f>+VLOOKUP(B31,cennik!A:G,3,FALSE)</f>
        <v>16.1568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dolne wózki</v>
      </c>
      <c r="B32" s="447">
        <v>229440</v>
      </c>
      <c r="C32" s="23" t="str">
        <f>+VLOOKUP(B32,cennik!A:G,2,FALSE)</f>
        <v>SEVROLL wózek dolny WD 18C HI-TEC - 2szt</v>
      </c>
      <c r="D32" s="15">
        <f>+D4</f>
        <v>0</v>
      </c>
      <c r="E32" s="86">
        <f>+VLOOKUP(B32,cennik!A:G,3,FALSE)</f>
        <v>17.546399999999998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szczotka odbojowa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Akcesoria:</v>
      </c>
      <c r="B36" s="15"/>
      <c r="C36" s="19"/>
      <c r="D36" s="343" t="str">
        <f>System10!D41</f>
        <v>podaj ilość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pozycjoner wózka górnego</v>
      </c>
      <c r="B37" s="447">
        <v>298035</v>
      </c>
      <c r="C37" s="23" t="str">
        <f>+VLOOKUP(B37,cennik!A:G,2,FALSE)</f>
        <v>SEVROLL Fix pozycjoner wózka górnego transparentny</v>
      </c>
      <c r="D37" s="278"/>
      <c r="E37" s="86">
        <f>+VLOOKUP(B37,cennik!A:G,3,FALSE)</f>
        <v>3.74519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zł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pozycjoner</v>
      </c>
      <c r="B38" s="447">
        <f>IF(F4="Gemini",387424,89063)</f>
        <v>89063</v>
      </c>
      <c r="C38" s="23" t="str">
        <f>+VLOOKUP(B38,cennik!A:G,2,FALSE)</f>
        <v>SEVROLL pozycjoner wózka dolnego HI-TEC</v>
      </c>
      <c r="D38" s="278"/>
      <c r="E38" s="86">
        <f>+VLOOKUP(B38,cennik!A:G,3,FALSE)</f>
        <v>1.071</v>
      </c>
      <c r="F38" s="91">
        <f t="shared" si="1"/>
        <v>0</v>
      </c>
      <c r="G38" s="87">
        <f>+F38*(100-G26)/100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Tłumienie MINI do 25 kg (para)</v>
      </c>
      <c r="B39" s="447">
        <v>318662</v>
      </c>
      <c r="C39" s="23" t="str">
        <f>+VLOOKUP(B39,cennik!A:G,2,FALSE)</f>
        <v>SEVROLL tłumienie Mini SV25 (14-25kg)</v>
      </c>
      <c r="D39" s="278"/>
      <c r="E39" s="86">
        <f>+VLOOKUP(B39,cennik!A:G,3,FALSE)</f>
        <v>96.889799999999994</v>
      </c>
      <c r="F39" s="91">
        <f t="shared" si="1"/>
        <v>0</v>
      </c>
      <c r="G39" s="87">
        <f>+F39*(100-G26)/100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Tłumienie MINI do 40 kg (para)</v>
      </c>
      <c r="B40" s="415">
        <v>283956</v>
      </c>
      <c r="C40" s="23" t="str">
        <f>+VLOOKUP(B40,cennik!A:G,2,FALSE)</f>
        <v>SEVROLL tłumienie Mini SV40 (25 - 40kg)</v>
      </c>
      <c r="D40" s="278"/>
      <c r="E40" s="86">
        <f>+VLOOKUP(B40,cennik!A:G,3,FALSE)</f>
        <v>96.889799999999994</v>
      </c>
      <c r="F40" s="91">
        <f t="shared" si="1"/>
        <v>0</v>
      </c>
      <c r="G40" s="87">
        <f>+F40*(100-G26)/100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Tłumienie MINI do 60 kg (para)</v>
      </c>
      <c r="B41" s="415">
        <v>351743</v>
      </c>
      <c r="C41" s="23" t="str">
        <f>+VLOOKUP(B41,cennik!A:G,2,FALSE)</f>
        <v>SEVROLL tłumienie Mini SV60 (40 - 60kg)</v>
      </c>
      <c r="D41" s="278"/>
      <c r="E41" s="86">
        <f>+VLOOKUP(B41,cennik!A:G,3,FALSE)</f>
        <v>96.889799999999994</v>
      </c>
      <c r="F41" s="91">
        <f t="shared" si="1"/>
        <v>0</v>
      </c>
      <c r="G41" s="87">
        <f>+F41*(100-G26)/100</f>
        <v>0</v>
      </c>
      <c r="H41" s="22" t="str">
        <f>cennik!B2</f>
        <v>zł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 xml:space="preserve"> Tłumienie do skrzydła środkowego do 25 kg </v>
      </c>
      <c r="B42" s="415">
        <v>318663</v>
      </c>
      <c r="C42" s="23" t="str">
        <f>+VLOOKUP(B42,cennik!A:G,2,FALSE)</f>
        <v>SEVROLL tłumienie Central 10/18mm obustronne 25kg</v>
      </c>
      <c r="D42" s="278"/>
      <c r="E42" s="86">
        <f>+VLOOKUP(B42,cennik!A:G,3,FALSE)</f>
        <v>206.958</v>
      </c>
      <c r="F42" s="91">
        <f t="shared" si="1"/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 xml:space="preserve"> Tłumienie do skrzydła środkowego do 40 kg </v>
      </c>
      <c r="B43" s="415">
        <v>283955</v>
      </c>
      <c r="C43" s="23" t="str">
        <f>+VLOOKUP(B43,cennik!A:G,2,FALSE)</f>
        <v>SEVROLL tłumienie Central 10/18mm obustronne 25-40kg</v>
      </c>
      <c r="D43" s="278"/>
      <c r="E43" s="86">
        <f>+VLOOKUP(B43,cennik!A:G,3,FALSE)</f>
        <v>206.958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Wkręt do dolnego toru</v>
      </c>
      <c r="B44" s="447">
        <v>98019</v>
      </c>
      <c r="C44" s="23" t="str">
        <f>+VLOOKUP(B44,cennik!A:G,2,FALSE)</f>
        <v>SEVROLL wkręt 2,5x18mm</v>
      </c>
      <c r="D44" s="278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tłumienie (para)25 kg</v>
      </c>
      <c r="B45" s="415">
        <v>227185</v>
      </c>
      <c r="C45" s="23" t="str">
        <f>+VLOOKUP(B45,cennik!A:G,2,FALSE)</f>
        <v>K-SEVROLL tłumienie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tłumienie (para) 50 kg</v>
      </c>
      <c r="B46" s="415">
        <v>227187</v>
      </c>
      <c r="C46" s="23" t="str">
        <f>+VLOOKUP(B46,cennik!A:G,2,FALSE)</f>
        <v>K-SEVROLL tłumienie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profil łączący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profil łączący H25-3metry</v>
      </c>
      <c r="B48" s="447" t="str">
        <f>IFERROR(VLOOKUP(P7,data!C891:D893,2,0),"N/A")</f>
        <v>N/A</v>
      </c>
      <c r="C48" s="23" t="str">
        <f>IF(B48=data!D64,texty!A239,+VLOOKUP(B48,cennik!A:G,2,FALSE))</f>
        <v> w tym kolorze i długości dany profil nie jest produkowany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śruba łącząca</v>
      </c>
      <c r="B49" s="447">
        <v>89244</v>
      </c>
      <c r="C49" s="23" t="str">
        <f>+VLOOKUP(B49,cennik!A:G,2,FALSE)</f>
        <v>SEVROLL blachowkręt 6,3x32 SEVROLL i Simple</v>
      </c>
      <c r="D49" s="354"/>
      <c r="E49" s="86">
        <f>+VLOOKUP(B49,cennik!A:G,3,FALSE)</f>
        <v>0.52500000000000002</v>
      </c>
      <c r="F49" s="86">
        <f>+E49*D49</f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 xml:space="preserve">tutaj można znaleźć inne akcesoria 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rysunek techniczny tego systemu</v>
      </c>
      <c r="B60" s="479">
        <v>129677</v>
      </c>
      <c r="C60" s="480" t="str">
        <f>VLOOKUP(B60,cennik!A:C,2,0)</f>
        <v>SEVROLL element montażowy do płyty laminowanej 10mm mały</v>
      </c>
      <c r="D60" s="355"/>
      <c r="E60" s="86">
        <f>+VLOOKUP(B60,cennik!A:G,3,FALSE)</f>
        <v>51.590769999999999</v>
      </c>
      <c r="F60" s="91">
        <f>+CEILING(D60,1)*E60</f>
        <v>0</v>
      </c>
      <c r="G60" s="87">
        <f>+F60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wiertło stopniowe 6,5/9,5mm</v>
      </c>
      <c r="D61" s="355"/>
      <c r="E61" s="86">
        <f>+VLOOKUP(B61,cennik!A:G,3,FALSE)</f>
        <v>116.85122</v>
      </c>
      <c r="F61" s="91">
        <f>+CEILING(D61,1)*E61</f>
        <v>0</v>
      </c>
      <c r="G61" s="87">
        <f>+F61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3" t="str">
        <f>IF(SUM(D45:D46)&gt;0,IF(C7&lt;(B4/3),texty!A212,""),"")</f>
        <v/>
      </c>
      <c r="B62" s="683"/>
      <c r="C62" s="683"/>
      <c r="D62" s="683"/>
      <c r="E62" s="683"/>
      <c r="F62" s="683"/>
      <c r="G62" s="683"/>
      <c r="H62" s="683"/>
      <c r="I62" s="683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w sumie (bez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zł</v>
      </c>
      <c r="I63" s="22"/>
      <c r="J63" s="166"/>
      <c r="K63" s="166"/>
      <c r="L63" s="4" t="str">
        <f>data!J4</f>
        <v>srebrny</v>
      </c>
      <c r="M63" s="19" t="s">
        <v>968</v>
      </c>
    </row>
    <row r="64" spans="1:13" ht="12.75" customHeight="1" x14ac:dyDescent="0.25">
      <c r="A64" s="337" t="str">
        <f>System10!A67</f>
        <v>Uwagi</v>
      </c>
      <c r="B64" s="688"/>
      <c r="C64" s="689"/>
      <c r="D64" s="689"/>
      <c r="E64" s="689"/>
      <c r="F64" s="689"/>
      <c r="G64" s="690"/>
      <c r="H64" s="22"/>
      <c r="I64" s="22"/>
      <c r="L64" s="4" t="str">
        <f>data!J6</f>
        <v>j.brąz</v>
      </c>
      <c r="M64" s="19" t="s">
        <v>42</v>
      </c>
    </row>
    <row r="65" spans="1:14" ht="12.75" customHeight="1" x14ac:dyDescent="0.25">
      <c r="A65" s="687" t="str">
        <f>profil!U15</f>
        <v/>
      </c>
      <c r="B65" s="677"/>
      <c r="C65" s="677"/>
      <c r="D65" s="677"/>
      <c r="E65" s="677"/>
      <c r="F65" s="677"/>
      <c r="G65" s="677"/>
      <c r="H65" s="677"/>
      <c r="I65" s="22"/>
      <c r="M65" s="19"/>
    </row>
    <row r="66" spans="1:14" ht="12.75" customHeight="1" x14ac:dyDescent="0.25">
      <c r="A66" s="678" t="str">
        <f>IF(N66=1,texty!A215,IF(K66&gt;0,texty!A214,""))</f>
        <v>niektóre elementy nie są produkowane w wybranej długości</v>
      </c>
      <c r="B66" s="678"/>
      <c r="C66" s="678"/>
      <c r="D66" s="678"/>
      <c r="E66" s="678"/>
      <c r="F66" s="678"/>
      <c r="G66" s="678"/>
      <c r="H66" s="678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5" t="s">
        <v>707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697" t="str">
        <f>texty!A45</f>
        <v>wypełnij 5 pól !!!!! informacje w mm</v>
      </c>
      <c r="C5" s="697"/>
      <c r="D5" s="697"/>
      <c r="E5" s="697"/>
      <c r="F5" s="697"/>
      <c r="G5" s="693"/>
      <c r="H5" s="693"/>
      <c r="I5" s="693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skrzydło drzwi: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długość rączki (+ 2 mm 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8" t="str">
        <f>IF(B7&gt;2400,texty!A194,IF(C7&gt;700,texty!A194,""))</f>
        <v>Maksymalny wymiar skrzydła w lustrze 2400x700mm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1" t="str">
        <f>IF(SUM(D41:D42)&gt;0,texty!A246,"")</f>
        <v/>
      </c>
      <c r="B15" s="681"/>
      <c r="C15" s="375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1"/>
      <c r="B16" s="681"/>
      <c r="C16" s="375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84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4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85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85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partnerska zniżka: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Kody zamówieniowe, ceny: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kod</v>
      </c>
      <c r="C26" s="76" t="str">
        <f>+System10!C27</f>
        <v>nazwa</v>
      </c>
      <c r="D26" s="76" t="str">
        <f>+System10!D27</f>
        <v>szt.</v>
      </c>
      <c r="E26" s="76" t="str">
        <f>+System10!E27</f>
        <v>cena/szt.</v>
      </c>
      <c r="F26" s="16" t="str">
        <f>+System10!F27</f>
        <v>cena w sumie</v>
      </c>
      <c r="G26" s="16" t="str">
        <f>+System10!G27</f>
        <v>w sumie netto:</v>
      </c>
      <c r="H26" s="16"/>
      <c r="I26" s="16" t="str">
        <f>texty!A29</f>
        <v>Uwagi:</v>
      </c>
      <c r="K26" s="16"/>
      <c r="L26" s="16"/>
    </row>
    <row r="27" spans="1:12" ht="12.75" customHeight="1" x14ac:dyDescent="0.25">
      <c r="A27" s="6" t="str">
        <f>texty!A106</f>
        <v>tor górny: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zł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Tor dolny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profil maskujący (maskownica):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górne wózki</v>
      </c>
      <c r="B30" s="15">
        <v>228023</v>
      </c>
      <c r="C30" s="23" t="str">
        <f>+VLOOKUP(B30,cennik!A3:G984,2,FALSE)</f>
        <v>SEVROLL Focus wózek górny 18mm 2szt</v>
      </c>
      <c r="D30" s="15">
        <f>IF((D43+D44)&gt;D4,0,D4-(D43+D44))</f>
        <v>0</v>
      </c>
      <c r="E30" s="86">
        <f>+VLOOKUP(B30,cennik!A:G,3,FALSE)</f>
        <v>13.907170000000001</v>
      </c>
      <c r="F30" s="86">
        <f t="shared" si="0"/>
        <v>0</v>
      </c>
      <c r="G30" s="87">
        <f>+F30*(100-G25)/100</f>
        <v>0</v>
      </c>
      <c r="H30" s="5" t="str">
        <f>cennik!B2</f>
        <v>zł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dolne wózki</v>
      </c>
      <c r="B31" s="15">
        <f>IF(F4=M66,362316,229440)</f>
        <v>229440</v>
      </c>
      <c r="C31" s="23" t="str">
        <f>+VLOOKUP(B31,cennik!A:G,2,FALSE)</f>
        <v>SEVROLL wózek dolny WD 18C HI-TEC - 2szt</v>
      </c>
      <c r="D31" s="15">
        <f>+D4</f>
        <v>0</v>
      </c>
      <c r="E31" s="86">
        <f>+VLOOKUP(B31,cennik!A:G,3,FALSE)</f>
        <v>17.546399999999998</v>
      </c>
      <c r="F31" s="86">
        <f t="shared" si="0"/>
        <v>0</v>
      </c>
      <c r="G31" s="87">
        <f>+F31*(100-G25)/100</f>
        <v>0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szczotka odbojowa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rączka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Akcesoria:</v>
      </c>
      <c r="B35" s="319"/>
      <c r="C35" s="116"/>
      <c r="D35" s="370" t="str">
        <f>System10!D41</f>
        <v>podaj ilość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pozycjoner wózka górnego</v>
      </c>
      <c r="B36" s="66">
        <v>298035</v>
      </c>
      <c r="C36" s="475" t="str">
        <f>+VLOOKUP(B36,cennik!A:G,2,FALSE)</f>
        <v>SEVROLL Fix pozycjoner wózka górnego transparentny</v>
      </c>
      <c r="D36" s="27"/>
      <c r="E36" s="193">
        <f>+VLOOKUP(B36,cennik!A:G,3,FALSE)</f>
        <v>3.74519</v>
      </c>
      <c r="F36" s="99">
        <f>+E36*D36</f>
        <v>0</v>
      </c>
      <c r="G36" s="98">
        <f>+F36*(100-G25)/100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>pozycjoner</v>
      </c>
      <c r="B37" s="15">
        <f>IF(F4="Gemini",387424,89063)</f>
        <v>89063</v>
      </c>
      <c r="C37" s="475" t="str">
        <f>+VLOOKUP(B37,cennik!A:G,2,FALSE)</f>
        <v>SEVROLL pozycjoner wózka dolnego HI-TEC</v>
      </c>
      <c r="D37" s="27"/>
      <c r="E37" s="193">
        <f>+VLOOKUP(B37,cennik!A:G,3,FALSE)</f>
        <v>1.071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 Tłumienie MINI do 25 kg (para)</v>
      </c>
      <c r="B38" s="15">
        <v>318662</v>
      </c>
      <c r="C38" s="23" t="str">
        <f>+VLOOKUP(B38,cennik!A:G,2,FALSE)</f>
        <v>SEVROLL tłumienie Mini SV25 (14-25kg)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+F38*(100-G25)/100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 Tłumienie MINI do 40 kg (para)</v>
      </c>
      <c r="B39" s="22">
        <v>283956</v>
      </c>
      <c r="C39" s="23" t="str">
        <f>+VLOOKUP(B39,cennik!A:G,2,FALSE)</f>
        <v>SEVROLL tłumienie Mini SV40 (25 - 40kg)</v>
      </c>
      <c r="D39" s="278"/>
      <c r="E39" s="86">
        <f>+VLOOKUP(B39,cennik!A:G,3,FALSE)</f>
        <v>96.889799999999994</v>
      </c>
      <c r="F39" s="91">
        <f>+CEILING(D39,1)*E39</f>
        <v>0</v>
      </c>
      <c r="G39" s="98">
        <f>+F39*(100-G25)/100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 Tłumienie MINI do 60 kg (para)</v>
      </c>
      <c r="B40" s="22">
        <v>351743</v>
      </c>
      <c r="C40" s="23" t="str">
        <f>+VLOOKUP(B40,cennik!A:G,2,FALSE)</f>
        <v>SEVROLL tłumienie Mini SV60 (40 - 60kg)</v>
      </c>
      <c r="D40" s="278"/>
      <c r="E40" s="86">
        <f>+VLOOKUP(B40,cennik!A:G,3,FALSE)</f>
        <v>96.889799999999994</v>
      </c>
      <c r="F40" s="91">
        <f>+CEILING(D40,1)*E40</f>
        <v>0</v>
      </c>
      <c r="G40" s="98">
        <f>+F40*(100-G25)/100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 xml:space="preserve"> Tłumienie do skrzydła środkowego do 25 kg </v>
      </c>
      <c r="B41" s="22">
        <v>318663</v>
      </c>
      <c r="C41" s="23" t="str">
        <f>+VLOOKUP(B41,cennik!A:G,2,FALSE)</f>
        <v>SEVROLL tłumienie Central 10/18mm obustronne 25kg</v>
      </c>
      <c r="D41" s="278"/>
      <c r="E41" s="86">
        <f>+VLOOKUP(B41,cennik!A:G,3,FALSE)</f>
        <v>206.958</v>
      </c>
      <c r="F41" s="91">
        <f>+CEILING(D41,1)*E41</f>
        <v>0</v>
      </c>
      <c r="G41" s="98">
        <f>+F41*(100-G25)/100</f>
        <v>0</v>
      </c>
      <c r="H41" s="22" t="str">
        <f>cennik!B2</f>
        <v>zł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 xml:space="preserve"> Tłumienie do skrzydła środkowego do 40 kg </v>
      </c>
      <c r="B42" s="22">
        <v>283955</v>
      </c>
      <c r="C42" s="23" t="str">
        <f>+VLOOKUP(B42,cennik!A:G,2,FALSE)</f>
        <v>SEVROLL tłumienie Central 10/18mm obustronne 25-40kg</v>
      </c>
      <c r="D42" s="278"/>
      <c r="E42" s="86">
        <f>+VLOOKUP(B42,cennik!A:G,3,FALSE)</f>
        <v>206.958</v>
      </c>
      <c r="F42" s="91">
        <f>+CEILING(D42,1)*E42</f>
        <v>0</v>
      </c>
      <c r="G42" s="98">
        <f>+F42*(100-G25)/100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tłumienie (para)25 kg</v>
      </c>
      <c r="B43" s="22">
        <v>227185</v>
      </c>
      <c r="C43" s="475" t="str">
        <f>+VLOOKUP(B43,cennik!A:G,2,FALSE)</f>
        <v>K-SEVROLL tłumienie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tłumienie (para) 50 kg</v>
      </c>
      <c r="B44" s="22">
        <v>227187</v>
      </c>
      <c r="C44" s="475" t="str">
        <f>+VLOOKUP(B44,cennik!A:G,2,FALSE)</f>
        <v>K-SEVROLL tłumienie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Klamra szczotki odbojowej</v>
      </c>
      <c r="B45" s="15">
        <v>223569</v>
      </c>
      <c r="C45" s="475" t="str">
        <f>+VLOOKUP(B45,cennik!A:G,2,FALSE)</f>
        <v>SEVROLL klips do szczotki przeciwkurzowej</v>
      </c>
      <c r="D45" s="27"/>
      <c r="E45" s="193">
        <f>+VLOOKUP(B45,cennik!A:G,3,FALSE)</f>
        <v>0.23857999999999999</v>
      </c>
      <c r="F45" s="99">
        <f t="shared" si="1"/>
        <v>0</v>
      </c>
      <c r="G45" s="98">
        <f>+F45*(100-G25)/100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profil łączący H18-3metry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Teownik -3metry</v>
      </c>
      <c r="B47" s="15" t="str">
        <f>IFERROR(VLOOKUP(P7,data!C589:D598,2,0),"N/A")</f>
        <v>N/A</v>
      </c>
      <c r="C47" s="475" t="str">
        <f>IF(B47=data!D64,texty!A239,+VLOOKUP(B47,cennik!A:G,2,FALSE))</f>
        <v> w tym kolorze i długości dany profil nie jest produkowany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Teownik decor -3metry</v>
      </c>
      <c r="B48" s="15" t="str">
        <f>IFERROR(VLOOKUP(P7,data!C599:D608,2,0),"N/A")</f>
        <v>N/A</v>
      </c>
      <c r="C48" s="475" t="str">
        <f>IF(B48=data!D64,texty!A239,+VLOOKUP(B48,cennik!A:G,2,FALSE))</f>
        <v> w tym kolorze i długości dany profil nie jest produkowany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na DTD 18mm- 3 metry /gładki/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na DTD 18mm- 3 metry</v>
      </c>
      <c r="B50" s="15" t="str">
        <f>IFERROR(VLOOKUP(P7,data!C620:D629,2,0),"N/A")</f>
        <v>N/A</v>
      </c>
      <c r="C50" s="475" t="str">
        <f>IF(B50=data!D64,texty!A239,+VLOOKUP(B50,cennik!A:G,2,FALSE))</f>
        <v> w tym kolorze i długości dany profil nie jest produkowany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kątownik mini 11x17mm - 1,7m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kątownik mini 11x17mm - 2,35m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kątownik mini 11x17mm - 3,00m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kątownik K2 19x18mm - 1,7m</v>
      </c>
      <c r="B54" s="22" t="str">
        <f>IFERROR(VLOOKUP(P7,data!C666:D675,2,0),"N/A")</f>
        <v>N/A</v>
      </c>
      <c r="C54" s="475" t="str">
        <f>IF(B54=data!D64,texty!A239,+VLOOKUP(B54,cennik!A:G,2,FALSE))</f>
        <v> w tym kolorze i długości dany profil nie jest produkowany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kątownik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 w tym kolorze i długości dany profil nie jest produkowany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kątownik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 w tym kolorze i długości dany profil nie jest produkowany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zacisk do dylatacji wypełnienia 16 mm</v>
      </c>
      <c r="B57" s="15">
        <v>308631</v>
      </c>
      <c r="C57" s="475" t="str">
        <f>+VLOOKUP(B57,cennik!A:G,2,FALSE)</f>
        <v>SEVROLL klin do płyty laminowanej grubość 2 mm (100 szt.)</v>
      </c>
      <c r="D57" s="27"/>
      <c r="E57" s="193">
        <f>+VLOOKUP(B57,cennik!A:G,3,FALSE)</f>
        <v>30.24597</v>
      </c>
      <c r="F57" s="99">
        <f>+E57*D57</f>
        <v>0</v>
      </c>
      <c r="G57" s="98">
        <f>+F57*(100-G25)/100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zamek do drzwi przesuwnych</v>
      </c>
      <c r="B58" s="22">
        <v>216363</v>
      </c>
      <c r="C58" s="475" t="str">
        <f>+VLOOKUP(B58,cennik!A:G,2,FALSE)</f>
        <v>SEVROLL zamek do drzwi przesuwnych 10/18mm</v>
      </c>
      <c r="D58" s="27"/>
      <c r="E58" s="193">
        <f>+VLOOKUP(B58,cennik!A:G,3,FALSE)</f>
        <v>66.840599999999995</v>
      </c>
      <c r="F58" s="99">
        <f t="shared" si="1"/>
        <v>0</v>
      </c>
      <c r="G58" s="98">
        <f>+F58*(100-G25)/100</f>
        <v>0</v>
      </c>
      <c r="H58" s="5" t="str">
        <f>cennik!B2</f>
        <v>zł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szczotka przeciwkurzowa samoprzylepna</v>
      </c>
      <c r="B59" s="22">
        <v>308639</v>
      </c>
      <c r="C59" s="23" t="str">
        <f>+VLOOKUP(B59,cennik!A:G,2,FALSE)</f>
        <v>SEVROLL szczotka przeciwkurzowa z klejem 6,7x13mm szara</v>
      </c>
      <c r="D59" s="27"/>
      <c r="E59" s="193">
        <f>+VLOOKUP(B59,cennik!A:G,3,FALSE)</f>
        <v>1.2647999999999999</v>
      </c>
      <c r="F59" s="99">
        <f t="shared" si="1"/>
        <v>0</v>
      </c>
      <c r="G59" s="98">
        <f>+F59*(100-G25)/100</f>
        <v>0</v>
      </c>
      <c r="H59" s="5" t="str">
        <f>cennik!B2</f>
        <v>zł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 xml:space="preserve">tutaj można znaleźć inne akcesoria 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rysunek techniczny tego systemu</v>
      </c>
      <c r="C62" s="68"/>
      <c r="D62" s="44" t="str">
        <f>texty!A15</f>
        <v>w sumie (bez VAT)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zł</v>
      </c>
      <c r="I62" s="166"/>
      <c r="K62" s="166"/>
      <c r="L62" s="5"/>
    </row>
    <row r="63" spans="1:12" ht="12.75" customHeight="1" x14ac:dyDescent="0.25">
      <c r="A63" s="70" t="str">
        <f>System10!A67</f>
        <v>Uwagi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5"/>
      <c r="C64" s="695"/>
      <c r="D64" s="695"/>
      <c r="E64" s="695"/>
      <c r="F64" s="695"/>
      <c r="G64" s="695"/>
      <c r="H64" s="695"/>
      <c r="L64" s="5"/>
    </row>
    <row r="65" spans="1:14" ht="12.75" customHeight="1" x14ac:dyDescent="0.25">
      <c r="A65" s="696" t="str">
        <f>IF(N65=1,texty!A215,IF(K65&gt;0,texty!A214,""))</f>
        <v>niektóre elementy nie są produkowane w wybranej długości</v>
      </c>
      <c r="B65" s="696"/>
      <c r="C65" s="696"/>
      <c r="D65" s="696"/>
      <c r="E65" s="696"/>
      <c r="F65" s="696"/>
      <c r="G65" s="696"/>
      <c r="H65" s="696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5">
      <c r="K66" s="5">
        <v>64</v>
      </c>
      <c r="L66" s="4" t="str">
        <f>data!J4</f>
        <v>srebrny</v>
      </c>
      <c r="M66" s="19" t="s">
        <v>968</v>
      </c>
    </row>
    <row r="67" spans="1:14" ht="12.75" hidden="1" customHeight="1" x14ac:dyDescent="0.25">
      <c r="L67" s="4" t="str">
        <f>data!J5</f>
        <v>złoty/mosiądz</v>
      </c>
      <c r="M67" s="19" t="s">
        <v>42</v>
      </c>
    </row>
    <row r="68" spans="1:14" ht="12.75" hidden="1" customHeight="1" x14ac:dyDescent="0.25">
      <c r="L68" s="4" t="str">
        <f>data!J6</f>
        <v>j.brąz</v>
      </c>
    </row>
    <row r="69" spans="1:14" ht="12.75" hidden="1" customHeight="1" x14ac:dyDescent="0.25">
      <c r="L69" s="4" t="str">
        <f>data!J15</f>
        <v> biały połysk</v>
      </c>
    </row>
    <row r="70" spans="1:14" ht="12.75" hidden="1" customHeight="1" x14ac:dyDescent="0.25">
      <c r="L70" s="4" t="str">
        <f>data!J18</f>
        <v>biały mat</v>
      </c>
    </row>
    <row r="71" spans="1:14" ht="12.75" hidden="1" customHeight="1" x14ac:dyDescent="0.25">
      <c r="L71" s="4" t="str">
        <f>data!J16</f>
        <v>czarny połysk</v>
      </c>
    </row>
    <row r="72" spans="1:14" ht="12.75" hidden="1" customHeight="1" x14ac:dyDescent="0.25">
      <c r="L72" s="4" t="str">
        <f>data!J17</f>
        <v> czarny mat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czarny lakier strukturalny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5" t="s">
        <v>730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25.5" customHeight="1" x14ac:dyDescent="0.25">
      <c r="A4" s="9" t="str">
        <f>texty!A70</f>
        <v>WEWNĘTRZNY ROZMIAR SZAFY:</v>
      </c>
      <c r="B4" s="52"/>
      <c r="C4" s="52"/>
      <c r="D4" s="20"/>
      <c r="E4" s="194"/>
      <c r="F4" s="353"/>
      <c r="G4" s="693"/>
      <c r="H4" s="693"/>
      <c r="I4" s="693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7"/>
      <c r="G5" s="693"/>
      <c r="H5" s="693"/>
      <c r="I5" s="693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skrzydło drzwi: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Maksymalny wymiar skrzydła w lustrze 2400x700mm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1" t="str">
        <f>IF(SUM(D40:D41)&gt;0,texty!A246,"")</f>
        <v/>
      </c>
      <c r="B13" s="681"/>
      <c r="C13" s="384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1"/>
      <c r="B14" s="681"/>
      <c r="C14" s="384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84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4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5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8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partnerska zniżka:</v>
      </c>
      <c r="H23" s="5"/>
      <c r="L23" s="5"/>
    </row>
    <row r="24" spans="1:12" ht="12.75" customHeight="1" x14ac:dyDescent="0.25">
      <c r="A24" s="123" t="str">
        <f>texty!A80</f>
        <v>Kody zamówieniowe, ceny: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kod</v>
      </c>
      <c r="C25" s="76" t="str">
        <f>+System10!C27</f>
        <v>nazwa</v>
      </c>
      <c r="D25" s="76" t="str">
        <f>+System10!D27</f>
        <v>szt.</v>
      </c>
      <c r="E25" s="76" t="str">
        <f>+System10!E27</f>
        <v>cena/szt.</v>
      </c>
      <c r="F25" s="16" t="str">
        <f>+System10!F27</f>
        <v>cena w sumie</v>
      </c>
      <c r="G25" s="16" t="str">
        <f>+System10!G27</f>
        <v>w sumie netto:</v>
      </c>
      <c r="H25" s="16"/>
      <c r="I25" s="16" t="str">
        <f>texty!A29</f>
        <v>Uwagi:</v>
      </c>
      <c r="K25" s="16"/>
      <c r="L25" s="16"/>
    </row>
    <row r="26" spans="1:12" ht="12.75" customHeight="1" x14ac:dyDescent="0.25">
      <c r="A26" s="6" t="str">
        <f>texty!A106</f>
        <v>tor górny: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Tor dolny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profil maskujący (maskownica):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zł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górne wózki</v>
      </c>
      <c r="B29" s="15">
        <v>228023</v>
      </c>
      <c r="C29" s="34" t="str">
        <f>+VLOOKUP(B29,cennik!A:G,2,FALSE)</f>
        <v>SEVROLL Focus wózek górny 18mm 2szt</v>
      </c>
      <c r="D29" s="15">
        <f>IF((D42+D43)&gt;D4,0,D4-(D42+D43))</f>
        <v>0</v>
      </c>
      <c r="E29" s="193">
        <f>+VLOOKUP(B29,cennik!A:G,3,FALSE)</f>
        <v>13.907170000000001</v>
      </c>
      <c r="F29" s="99">
        <f t="shared" si="0"/>
        <v>0</v>
      </c>
      <c r="G29" s="98">
        <f>+F29*(100-G24)/100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dolne wózki</v>
      </c>
      <c r="B30" s="15">
        <f>IF(F4=M65,362316,229440)</f>
        <v>229440</v>
      </c>
      <c r="C30" s="23" t="str">
        <f>+VLOOKUP(B30,cennik!A:G,2,FALSE)</f>
        <v>SEVROLL wózek dolny WD 18C HI-TEC - 2szt</v>
      </c>
      <c r="D30" s="15">
        <f>+D4</f>
        <v>0</v>
      </c>
      <c r="E30" s="193">
        <f>+VLOOKUP(B30,cennik!A:G,3,FALSE)</f>
        <v>17.546399999999998</v>
      </c>
      <c r="F30" s="99">
        <f t="shared" si="0"/>
        <v>0</v>
      </c>
      <c r="G30" s="98">
        <f>+F30*(100-G24)/100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szczotka odbojowa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rączka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Akcesoria:</v>
      </c>
      <c r="B34" s="319"/>
      <c r="C34" s="116"/>
      <c r="D34" s="370" t="str">
        <f>System10!D41</f>
        <v>podaj ilość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pozycjoner wózka górnego</v>
      </c>
      <c r="B35" s="66">
        <v>298035</v>
      </c>
      <c r="C35" s="34" t="str">
        <f>+VLOOKUP(B35,cennik!A:G,2,FALSE)</f>
        <v>SEVROLL Fix pozycjoner wózka górnego transparentny</v>
      </c>
      <c r="D35" s="27"/>
      <c r="E35" s="193">
        <f>+VLOOKUP(B35,cennik!A:G,3,FALSE)</f>
        <v>3.74519</v>
      </c>
      <c r="F35" s="99">
        <f>+E35*D35</f>
        <v>0</v>
      </c>
      <c r="G35" s="98">
        <f>+F35*(100-G24)/100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>pozycjoner</v>
      </c>
      <c r="B36" s="15">
        <f>IF(F4="Gemini",387424,89063)</f>
        <v>89063</v>
      </c>
      <c r="C36" s="34" t="str">
        <f>+VLOOKUP(B36,cennik!A:G,2,FALSE)</f>
        <v>SEVROLL pozycjoner wózka dolnego HI-TEC</v>
      </c>
      <c r="D36" s="27"/>
      <c r="E36" s="193">
        <f>+VLOOKUP(B36,cennik!A:G,3,FALSE)</f>
        <v>1.071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 Tłumienie MINI do 25 kg (para)</v>
      </c>
      <c r="B37" s="15">
        <v>318662</v>
      </c>
      <c r="C37" s="23" t="str">
        <f>+VLOOKUP(B37,cennik!A:G,2,FALSE)</f>
        <v>SEVROLL tłumienie Mini SV25 (14-25kg)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+F37*(100-G24)/100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 Tłumienie MINI do 40 kg (para)</v>
      </c>
      <c r="B38" s="22">
        <v>283956</v>
      </c>
      <c r="C38" s="23" t="str">
        <f>+VLOOKUP(B38,cennik!A:G,2,FALSE)</f>
        <v>SEVROLL tłumienie Mini SV40 (25 - 40kg)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+F38*(100-G24)/100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 Tłumienie MINI do 60 kg (para)</v>
      </c>
      <c r="B39" s="22">
        <v>351743</v>
      </c>
      <c r="C39" s="23" t="str">
        <f>+VLOOKUP(B39,cennik!A:G,2,FALSE)</f>
        <v>SEVROLL tłumienie Mini SV60 (40 - 60kg)</v>
      </c>
      <c r="D39" s="278"/>
      <c r="E39" s="86">
        <f>+VLOOKUP(B39,cennik!A:G,3,FALSE)</f>
        <v>96.889799999999994</v>
      </c>
      <c r="F39" s="91">
        <f>+CEILING(D39,1)*E39</f>
        <v>0</v>
      </c>
      <c r="G39" s="98">
        <f>+F39*(100-G24)/100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 xml:space="preserve"> Tłumienie do skrzydła środkowego do 25 kg </v>
      </c>
      <c r="B40" s="22">
        <v>318663</v>
      </c>
      <c r="C40" s="23" t="str">
        <f>+VLOOKUP(B40,cennik!A:G,2,FALSE)</f>
        <v>SEVROLL tłumienie Central 10/18mm obustronne 25kg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+F40*(100-G24)/100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 xml:space="preserve"> Tłumienie do skrzydła środkowego do 40 kg </v>
      </c>
      <c r="B41" s="22">
        <v>283955</v>
      </c>
      <c r="C41" s="23" t="str">
        <f>+VLOOKUP(B41,cennik!A:G,2,FALSE)</f>
        <v>SEVROLL tłumienie Central 10/18mm obustronne 25-40kg</v>
      </c>
      <c r="D41" s="278"/>
      <c r="E41" s="86">
        <f>+VLOOKUP(B41,cennik!A:G,3,FALSE)</f>
        <v>206.958</v>
      </c>
      <c r="F41" s="91">
        <f>+CEILING(D41,1)*E41</f>
        <v>0</v>
      </c>
      <c r="G41" s="98">
        <f>+F41*(100-G24)/100</f>
        <v>0</v>
      </c>
      <c r="H41" s="22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tłumienie (para)25 kg</v>
      </c>
      <c r="B42" s="22">
        <v>227185</v>
      </c>
      <c r="C42" s="34" t="str">
        <f>+VLOOKUP(B42,cennik!A:G,2,FALSE)</f>
        <v>K-SEVROLL tłumienie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tłumienie (para) 50 kg</v>
      </c>
      <c r="B43" s="22">
        <v>227187</v>
      </c>
      <c r="C43" s="34" t="str">
        <f>+VLOOKUP(B43,cennik!A:G,2,FALSE)</f>
        <v>K-SEVROLL tłumienie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Klamra szczotki odbojowej</v>
      </c>
      <c r="B44" s="15">
        <v>223569</v>
      </c>
      <c r="C44" s="34" t="str">
        <f>+VLOOKUP(B44,cennik!A:G,2,FALSE)</f>
        <v>SEVROLL klips do szczotki przeciwkurzowej</v>
      </c>
      <c r="D44" s="27"/>
      <c r="E44" s="193">
        <f>+VLOOKUP(B44,cennik!A:G,3,FALSE)</f>
        <v>0.23857999999999999</v>
      </c>
      <c r="F44" s="99">
        <f t="shared" si="1"/>
        <v>0</v>
      </c>
      <c r="G44" s="98">
        <f>+F44*(100-G24)/100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profil łączący H18-3metry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Teownik -3metry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Teownik decor -3metry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na DTD 18mm- 3 metry /gładki/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na DTD 18mm- 3 metry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kątownik mini 11x17mm - 1,7m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kątownik mini 11x17mm - 2,35m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kątownik mini 11x17mm - 3,00m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kątownik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kątownik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kątownik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zacisk do dylatacji wypełnienia 16 mm</v>
      </c>
      <c r="B56" s="15">
        <v>308631</v>
      </c>
      <c r="C56" s="34" t="str">
        <f>+VLOOKUP(B56,cennik!A:G,2,FALSE)</f>
        <v>SEVROLL klin do płyty laminowanej grubość 2 mm (100 szt.)</v>
      </c>
      <c r="D56" s="27"/>
      <c r="E56" s="193">
        <f>+VLOOKUP(B56,cennik!A:G,3,FALSE)</f>
        <v>30.24597</v>
      </c>
      <c r="F56" s="99">
        <f t="shared" si="1"/>
        <v>0</v>
      </c>
      <c r="G56" s="98">
        <f>+F56*(100-G24)/100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zamek do drzwi przesuwnych</v>
      </c>
      <c r="B57" s="22">
        <v>216363</v>
      </c>
      <c r="C57" s="34" t="str">
        <f>+VLOOKUP(B57,cennik!A:G,2,FALSE)</f>
        <v>SEVROLL zamek do drzwi przesuwnych 10/18mm</v>
      </c>
      <c r="D57" s="27"/>
      <c r="E57" s="193">
        <f>+VLOOKUP(B57,cennik!A:G,3,FALSE)</f>
        <v>66.840599999999995</v>
      </c>
      <c r="F57" s="99">
        <f t="shared" si="1"/>
        <v>0</v>
      </c>
      <c r="G57" s="98">
        <f>+F57*(100-G24)/100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szczotka przeciwkurzowa samoprzylepna</v>
      </c>
      <c r="B58" s="22">
        <v>308639</v>
      </c>
      <c r="C58" s="23" t="str">
        <f>+VLOOKUP(B58,cennik!A:G,2,FALSE)</f>
        <v>SEVROLL szczotka przeciwkurzowa z klejem 6,7x13mm szara</v>
      </c>
      <c r="D58" s="27"/>
      <c r="E58" s="193">
        <f>+VLOOKUP(B58,cennik!A:G,3,FALSE)</f>
        <v>1.2647999999999999</v>
      </c>
      <c r="F58" s="99">
        <f t="shared" si="1"/>
        <v>0</v>
      </c>
      <c r="G58" s="98">
        <f>+F58*(100-G24)/100</f>
        <v>0</v>
      </c>
      <c r="H58" s="5" t="str">
        <f>cennik!B2</f>
        <v>zł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 xml:space="preserve">tutaj można znaleźć inne akcesoria 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rysunek techniczny tego systemu</v>
      </c>
      <c r="C61" s="68"/>
      <c r="D61" s="44" t="str">
        <f>texty!A15</f>
        <v>w sumie (bez VAT)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zł</v>
      </c>
      <c r="I61" s="166"/>
      <c r="K61" s="166"/>
      <c r="L61" s="5"/>
    </row>
    <row r="62" spans="1:14" ht="35.25" customHeight="1" x14ac:dyDescent="0.25">
      <c r="A62" s="70" t="str">
        <f>System10!A67</f>
        <v>Uwagi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5"/>
      <c r="C63" s="695"/>
      <c r="D63" s="695"/>
      <c r="E63" s="695"/>
      <c r="F63" s="695"/>
      <c r="G63" s="695"/>
      <c r="H63" s="695"/>
      <c r="L63" s="5"/>
    </row>
    <row r="64" spans="1:14" ht="12.75" hidden="1" customHeight="1" x14ac:dyDescent="0.25">
      <c r="A64" s="696" t="str">
        <f>IF(N64=1,texty!A215,IF(J64&gt;0,texty!A214,""))</f>
        <v/>
      </c>
      <c r="B64" s="696"/>
      <c r="C64" s="696"/>
      <c r="D64" s="696"/>
      <c r="E64" s="696"/>
      <c r="F64" s="696"/>
      <c r="G64" s="696"/>
      <c r="H64" s="696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srebrny</v>
      </c>
      <c r="M65" s="19" t="s">
        <v>968</v>
      </c>
    </row>
    <row r="66" spans="11:13" ht="12.75" hidden="1" customHeight="1" x14ac:dyDescent="0.25">
      <c r="L66" s="4" t="str">
        <f>texty!A130</f>
        <v>j.brąz</v>
      </c>
      <c r="M66" s="19" t="s">
        <v>42</v>
      </c>
    </row>
    <row r="67" spans="11:13" ht="12.75" hidden="1" customHeight="1" x14ac:dyDescent="0.25">
      <c r="L67" s="4" t="str">
        <f>data!J15</f>
        <v> biały połysk</v>
      </c>
    </row>
    <row r="68" spans="11:13" ht="12.75" hidden="1" customHeight="1" x14ac:dyDescent="0.25">
      <c r="L68" s="4" t="str">
        <f>data!J18</f>
        <v>biały mat</v>
      </c>
    </row>
    <row r="69" spans="11:13" ht="12.75" hidden="1" customHeight="1" x14ac:dyDescent="0.25">
      <c r="L69" s="4" t="str">
        <f>data!J17</f>
        <v> czarny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5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Maksymalny wymiar skrzydła w lustrze 2400x700mm</v>
      </c>
      <c r="C12" s="385"/>
      <c r="D12" s="7"/>
      <c r="E12" s="7"/>
      <c r="F12" s="7"/>
      <c r="H12" s="36"/>
      <c r="L12" s="5"/>
    </row>
    <row r="13" spans="1:16" ht="26.4" x14ac:dyDescent="0.25">
      <c r="A13" s="681" t="str">
        <f>IF(SUM(D39:D40)&gt;0,texty!A246,"")</f>
        <v/>
      </c>
      <c r="B13" s="681"/>
      <c r="C13" s="384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1"/>
      <c r="B14" s="681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85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partnerska zniżka:</v>
      </c>
      <c r="H22" s="5"/>
      <c r="L22" s="5"/>
    </row>
    <row r="23" spans="1:12" s="121" customFormat="1" ht="12.75" customHeight="1" x14ac:dyDescent="0.25">
      <c r="A23" s="123" t="str">
        <f>texty!A80</f>
        <v>Kody zamówieniowe, ceny: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kod</v>
      </c>
      <c r="C24" s="76"/>
      <c r="D24" s="76" t="str">
        <f>Faworyt!D25</f>
        <v>szt.</v>
      </c>
      <c r="E24" s="76" t="str">
        <f>Faworyt!E25</f>
        <v>cena/szt.</v>
      </c>
      <c r="F24" s="16" t="str">
        <f>Faworyt!F25</f>
        <v>cena w sumie</v>
      </c>
      <c r="G24" s="16" t="str">
        <f>Faworyt!G25</f>
        <v>w sumie netto:</v>
      </c>
      <c r="H24" s="16"/>
      <c r="I24" s="16" t="str">
        <f>texty!A29</f>
        <v>Uwagi:</v>
      </c>
      <c r="K24" s="16"/>
      <c r="L24" s="16"/>
    </row>
    <row r="25" spans="1:12" ht="12.75" customHeight="1" x14ac:dyDescent="0.25">
      <c r="A25" s="6" t="str">
        <f>+Faworyt!A26</f>
        <v>tor górny: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Tor dolny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profil maskujący (maskownica):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15">
        <v>228023</v>
      </c>
      <c r="C28" s="475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99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5">
        <f>IF(F4=M63,362316,229440)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99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szczotka odbojowa</v>
      </c>
      <c r="B30" s="15">
        <v>229433</v>
      </c>
      <c r="C30" s="47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99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Akcesoria:</v>
      </c>
      <c r="B33" s="319"/>
      <c r="C33" s="116"/>
      <c r="D33" s="370" t="str">
        <f>+Faworyt!D34</f>
        <v>podaj ilość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pozycjoner wózka górnego</v>
      </c>
      <c r="B34" s="66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3.74519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>pozycjoner</v>
      </c>
      <c r="B35" s="15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Tłumienie MINI do 25 kg (para)</v>
      </c>
      <c r="B36" s="15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Tłumienie MINI do 40 kg (para)</v>
      </c>
      <c r="B37" s="15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 Tłumienie MINI do 60 kg (para)</v>
      </c>
      <c r="B38" s="15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 xml:space="preserve"> Tłumienie do skrzydła środkowego do 25 kg </v>
      </c>
      <c r="B39" s="15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 xml:space="preserve"> Tłumienie do skrzydła środkowego do 40 kg </v>
      </c>
      <c r="B40" s="15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tłumienie (para)25 kg</v>
      </c>
      <c r="B41" s="15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tłumienie (para) 50 kg</v>
      </c>
      <c r="B42" s="15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Klamra szczotki odbojowej</v>
      </c>
      <c r="B43" s="15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profil łączący H18-3metry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Teownik -3metry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Teownik decor -3metry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/gładki/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na DTD 18mm- 3 metry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kątownik mini 11x17mm - 1,7m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kątownik mini 11x17mm - 2,35m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kątownik mini 11x17mm - 3,00m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kątownik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kątownik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kątownik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zacisk do dylatacji wypełnienia 16 mm</v>
      </c>
      <c r="B55" s="15">
        <v>308631</v>
      </c>
      <c r="C55" s="47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zamek do drzwi przesuwnych</v>
      </c>
      <c r="B56" s="15">
        <v>216363</v>
      </c>
      <c r="C56" s="47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szczotka przeciwkurzowa samoprzylepna</v>
      </c>
      <c r="B57" s="15">
        <v>308639</v>
      </c>
      <c r="C57" s="23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+F57*(100-G23)/100</f>
        <v>0</v>
      </c>
      <c r="H57" s="5" t="str">
        <f>cennik!B2</f>
        <v>zł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rysunek techniczny tego systemu</v>
      </c>
      <c r="B60" s="15"/>
      <c r="C60" s="23"/>
      <c r="D60" s="72" t="str">
        <f>+Faworyt!D61</f>
        <v>w sumie (bez VAT)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zł</v>
      </c>
      <c r="J60" s="166"/>
      <c r="K60" s="166"/>
      <c r="L60" s="5"/>
    </row>
    <row r="61" spans="1:14" ht="12.75" customHeight="1" x14ac:dyDescent="0.25">
      <c r="A61" s="70" t="str">
        <f>System10!A67</f>
        <v>Uwagi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5"/>
      <c r="C62" s="695"/>
      <c r="D62" s="695"/>
      <c r="E62" s="695"/>
      <c r="F62" s="695"/>
      <c r="G62" s="695"/>
      <c r="H62" s="695"/>
    </row>
    <row r="63" spans="1:14" ht="12.75" customHeight="1" x14ac:dyDescent="0.25">
      <c r="A63" s="696" t="str">
        <f>IF(N63=1,texty!A215,IF(K63&gt;0,texty!A214,""))</f>
        <v>niektóre elementy nie są produkowane w wybranej długości</v>
      </c>
      <c r="B63" s="696"/>
      <c r="C63" s="696"/>
      <c r="D63" s="696"/>
      <c r="E63" s="696"/>
      <c r="F63" s="696"/>
      <c r="G63" s="696"/>
      <c r="H63" s="696"/>
      <c r="K63" s="5" t="e">
        <f>SUM(K25:K57)</f>
        <v>#N/A</v>
      </c>
      <c r="L63" s="4" t="str">
        <f>texty!A128</f>
        <v>srebrny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j.brąz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 2 742 mm /")</f>
        <v>wysokość / max. 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Maksymalny wymiar skrzydła w lustrze 2400x700mm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1" t="str">
        <f>IF(SUM(D39:D40)&gt;0,texty!A246,"")</f>
        <v/>
      </c>
      <c r="B13" s="681"/>
      <c r="C13" s="384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5"/>
    </row>
    <row r="14" spans="1:16" ht="33" customHeight="1" x14ac:dyDescent="0.25">
      <c r="A14" s="681"/>
      <c r="B14" s="681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partnerska zniżka:</v>
      </c>
      <c r="H22" s="5"/>
      <c r="L22" s="5"/>
    </row>
    <row r="23" spans="1:12" ht="12.75" customHeight="1" x14ac:dyDescent="0.25">
      <c r="A23" s="123" t="str">
        <f>texty!A80</f>
        <v>Kody zamówieniowe, ceny: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kod</v>
      </c>
      <c r="C24" s="77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76" t="str">
        <f>+Faworyt!F25</f>
        <v>cena w sumie</v>
      </c>
      <c r="G24" s="78" t="str">
        <f>+Faworyt!G25</f>
        <v>w sumie netto:</v>
      </c>
      <c r="H24" s="79"/>
      <c r="I24" s="16" t="str">
        <f>texty!A29</f>
        <v>Uwagi:</v>
      </c>
      <c r="K24" s="16"/>
      <c r="L24" s="16"/>
    </row>
    <row r="25" spans="1:12" ht="12.75" customHeight="1" x14ac:dyDescent="0.25">
      <c r="A25" s="6" t="str">
        <f>+Faworyt!A26</f>
        <v>tor górny: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zł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Tor dolny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zł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profil maskujący (maskownica):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zł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15">
        <v>228023</v>
      </c>
      <c r="C28" s="475" t="str">
        <f>+VLOOKUP(B28,cennik!$A:$G,2,FALSE)</f>
        <v>SEVROLL Focus wózek górny 18mm 2szt</v>
      </c>
      <c r="D28" s="15">
        <f>IF((D41+D42)&gt;D4,0,D4-(D41+D42))</f>
        <v>0</v>
      </c>
      <c r="E28" s="193">
        <f>+VLOOKUP(B28,cennik!$A:$G,3,FALSE)</f>
        <v>13.907170000000001</v>
      </c>
      <c r="F28" s="86">
        <f t="shared" si="0"/>
        <v>0</v>
      </c>
      <c r="G28" s="87">
        <f t="shared" si="1"/>
        <v>0</v>
      </c>
      <c r="H28" s="5" t="str">
        <f>cennik!$B$2</f>
        <v>zł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5">
        <f>IF(F4=M61,362316,229440)</f>
        <v>229440</v>
      </c>
      <c r="C29" s="23" t="str">
        <f>+VLOOKUP(B29,cennik!$A:$G,2,FALSE)</f>
        <v>SEVROLL wózek dolny WD 18C HI-TEC - 2szt</v>
      </c>
      <c r="D29" s="15">
        <f>+D4</f>
        <v>0</v>
      </c>
      <c r="E29" s="193">
        <f>+VLOOKUP(B29,cennik!$A:$G,3,FALSE)</f>
        <v>17.546399999999998</v>
      </c>
      <c r="F29" s="86">
        <f t="shared" si="0"/>
        <v>0</v>
      </c>
      <c r="G29" s="87">
        <f t="shared" si="1"/>
        <v>0</v>
      </c>
      <c r="H29" s="5" t="str">
        <f>cennik!$B$2</f>
        <v>zł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szczotka odbojowa</v>
      </c>
      <c r="B30" s="15">
        <v>229433</v>
      </c>
      <c r="C30" s="475" t="str">
        <f>+VLOOKUP(B30,cennik!$A:$G,2,FALSE)</f>
        <v>SEVROLL szczotka odbojowa bez kleju 4,8x4mm</v>
      </c>
      <c r="D30" s="15">
        <f>CEILING((B4*D4*2/1000),1)</f>
        <v>0</v>
      </c>
      <c r="E30" s="193">
        <f>+VLOOKUP(B30,cennik!$A:$G,3,FALSE)</f>
        <v>0.35</v>
      </c>
      <c r="F30" s="86">
        <f t="shared" si="0"/>
        <v>0</v>
      </c>
      <c r="G30" s="87">
        <f t="shared" si="1"/>
        <v>0</v>
      </c>
      <c r="H30" s="5" t="str">
        <f>cennik!$B$2</f>
        <v>zł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zł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Akcesoria:</v>
      </c>
      <c r="B33" s="113"/>
      <c r="C33" s="115"/>
      <c r="D33" s="371" t="str">
        <f>+Faworyt!D34</f>
        <v>podaj ilość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pozycjoner wózka górnego</v>
      </c>
      <c r="B34" s="66">
        <v>298035</v>
      </c>
      <c r="C34" s="475" t="str">
        <f>+VLOOKUP(B34,cennik!$A:$G,2,FALSE)</f>
        <v>SEVROLL Fix pozycjoner wózka górnego transparentny</v>
      </c>
      <c r="D34" s="27"/>
      <c r="E34" s="193">
        <f>+VLOOKUP(B34,cennik!$A:$G,3,FALSE)</f>
        <v>3.74519</v>
      </c>
      <c r="F34" s="99">
        <f>+E34*D34</f>
        <v>0</v>
      </c>
      <c r="G34" s="98">
        <f>+F34*(100-$G$23)/100</f>
        <v>0</v>
      </c>
      <c r="H34" s="5" t="str">
        <f>cennik!$B$2</f>
        <v>zł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>pozycjoner</v>
      </c>
      <c r="B35" s="15">
        <f>IF(F4="Gemini",387424,89063)</f>
        <v>89063</v>
      </c>
      <c r="C35" s="475" t="str">
        <f>+VLOOKUP(B35,cennik!$A:$G,2,FALSE)</f>
        <v>SEVROLL pozycjoner wózka dolnego HI-TEC</v>
      </c>
      <c r="D35" s="27"/>
      <c r="E35" s="193">
        <f>+VLOOKUP(B35,cennik!$A:$G,3,FALSE)</f>
        <v>1.071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zł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 Tłumienie MINI do 25 kg (para)</v>
      </c>
      <c r="B36" s="15">
        <v>318662</v>
      </c>
      <c r="C36" s="23" t="str">
        <f>+VLOOKUP(B36,cennik!$A:$G,2,FALSE)</f>
        <v>SEVROLL tłumienie Mini SV25 (14-25kg)</v>
      </c>
      <c r="D36" s="278"/>
      <c r="E36" s="86">
        <f>+VLOOKUP(B36,cennik!$A:$G,3,FALSE)</f>
        <v>96.889799999999994</v>
      </c>
      <c r="F36" s="91">
        <f>+CEILING(D36,1)*E36</f>
        <v>0</v>
      </c>
      <c r="G36" s="98">
        <f t="shared" si="3"/>
        <v>0</v>
      </c>
      <c r="H36" s="22" t="str">
        <f>cennik!$B$2</f>
        <v>zł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 Tłumienie MINI do 40 kg (para)</v>
      </c>
      <c r="B37" s="15">
        <v>283956</v>
      </c>
      <c r="C37" s="23" t="str">
        <f>+VLOOKUP(B37,cennik!$A:$G,2,FALSE)</f>
        <v>SEVROLL tłumienie Mini SV40 (25 - 40kg)</v>
      </c>
      <c r="D37" s="278"/>
      <c r="E37" s="86">
        <f>+VLOOKUP(B37,cennik!$A:$G,3,FALSE)</f>
        <v>96.889799999999994</v>
      </c>
      <c r="F37" s="91">
        <f>+CEILING(D37,1)*E37</f>
        <v>0</v>
      </c>
      <c r="G37" s="98">
        <f t="shared" si="3"/>
        <v>0</v>
      </c>
      <c r="H37" s="22" t="str">
        <f>cennik!$B$2</f>
        <v>zł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 Tłumienie MINI do 60 kg (para)</v>
      </c>
      <c r="B38" s="15">
        <v>351743</v>
      </c>
      <c r="C38" s="23" t="str">
        <f>+VLOOKUP(B38,cennik!$A:$G,2,FALSE)</f>
        <v>SEVROLL tłumienie Mini SV60 (40 - 60kg)</v>
      </c>
      <c r="D38" s="278"/>
      <c r="E38" s="86">
        <f>+VLOOKUP(B38,cennik!$A:$G,3,FALSE)</f>
        <v>96.889799999999994</v>
      </c>
      <c r="F38" s="91">
        <f>+CEILING(D38,1)*E38</f>
        <v>0</v>
      </c>
      <c r="G38" s="98">
        <f t="shared" si="3"/>
        <v>0</v>
      </c>
      <c r="H38" s="22" t="str">
        <f>cennik!$B$2</f>
        <v>zł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 xml:space="preserve"> Tłumienie do skrzydła środkowego do 25 kg </v>
      </c>
      <c r="B39" s="15">
        <v>318663</v>
      </c>
      <c r="C39" s="23" t="str">
        <f>+VLOOKUP(B39,cennik!$A:$G,2,FALSE)</f>
        <v>SEVROLL tłumienie Central 10/18mm obustronne 25kg</v>
      </c>
      <c r="D39" s="278"/>
      <c r="E39" s="86">
        <f>+VLOOKUP(B39,cennik!$A:$G,3,FALSE)</f>
        <v>206.958</v>
      </c>
      <c r="F39" s="91">
        <f>+CEILING(D39,1)*E39</f>
        <v>0</v>
      </c>
      <c r="G39" s="98">
        <f t="shared" si="3"/>
        <v>0</v>
      </c>
      <c r="H39" s="22" t="str">
        <f>cennik!$B$2</f>
        <v>zł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 xml:space="preserve"> Tłumienie do skrzydła środkowego do 40 kg </v>
      </c>
      <c r="B40" s="15">
        <v>283955</v>
      </c>
      <c r="C40" s="23" t="str">
        <f>+VLOOKUP(B40,cennik!$A:$G,2,FALSE)</f>
        <v>SEVROLL tłumienie Central 10/18mm obustronne 25-40kg</v>
      </c>
      <c r="D40" s="278"/>
      <c r="E40" s="86">
        <f>+VLOOKUP(B40,cennik!$A:$G,3,FALSE)</f>
        <v>206.958</v>
      </c>
      <c r="F40" s="91">
        <f>+CEILING(D40,1)*E40</f>
        <v>0</v>
      </c>
      <c r="G40" s="98">
        <f t="shared" si="3"/>
        <v>0</v>
      </c>
      <c r="H40" s="22" t="str">
        <f>cennik!$B$2</f>
        <v>zł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tłumienie (para)25 kg</v>
      </c>
      <c r="B41" s="15">
        <v>227185</v>
      </c>
      <c r="C41" s="475" t="str">
        <f>+VLOOKUP(B41,cennik!$A:$G,2,FALSE)</f>
        <v>K-SEVROLL tłumienie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zł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tłumienie (para) 50 kg</v>
      </c>
      <c r="B42" s="15">
        <v>227187</v>
      </c>
      <c r="C42" s="475" t="str">
        <f>+VLOOKUP(B42,cennik!$A:$G,2,FALSE)</f>
        <v>K-SEVROLL tłumienie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zł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Klamra szczotki odbojowej</v>
      </c>
      <c r="B43" s="15">
        <v>223569</v>
      </c>
      <c r="C43" s="475" t="str">
        <f>+VLOOKUP(B43,cennik!$A:$G,2,FALSE)</f>
        <v>SEVROLL klips do szczotki przeciwkurzowej</v>
      </c>
      <c r="D43" s="27"/>
      <c r="E43" s="193">
        <f>+VLOOKUP(B43,cennik!$A:$G,3,FALSE)</f>
        <v>0.23857999999999999</v>
      </c>
      <c r="F43" s="99">
        <f t="shared" si="2"/>
        <v>0</v>
      </c>
      <c r="G43" s="98">
        <f t="shared" si="3"/>
        <v>0</v>
      </c>
      <c r="H43" s="5" t="str">
        <f>cennik!$B$2</f>
        <v>zł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profil łączący H18-3metry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zł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Teownik -3metry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zł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Teownik decor -3metry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zł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na DTD 18mm- 3 metry /gładki/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zł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na DTD 18mm- 3 metry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zł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kątownik mini 11x17mm - 1,7m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zł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kątownik mini 11x17mm - 2,35m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zł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kątownik mini 11x17mm - 3,00m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zł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kątownik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zł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kątownik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zł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kątownik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zł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zacisk do dylatacji wypełnienia 16 mm</v>
      </c>
      <c r="B55" s="15">
        <v>308631</v>
      </c>
      <c r="C55" s="475" t="str">
        <f>+VLOOKUP(B55,cennik!$A:$G,2,FALSE)</f>
        <v>SEVROLL klin do płyty laminowanej grubość 2 mm (100 szt.)</v>
      </c>
      <c r="D55" s="27"/>
      <c r="E55" s="193">
        <f>+VLOOKUP(B55,cennik!$A:$G,3,FALSE)</f>
        <v>30.24597</v>
      </c>
      <c r="F55" s="99">
        <f t="shared" si="2"/>
        <v>0</v>
      </c>
      <c r="G55" s="98">
        <f t="shared" si="3"/>
        <v>0</v>
      </c>
      <c r="H55" s="5" t="str">
        <f>cennik!$B$2</f>
        <v>zł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zamek do drzwi przesuwnych</v>
      </c>
      <c r="B56" s="15">
        <v>216363</v>
      </c>
      <c r="C56" s="475" t="str">
        <f>+VLOOKUP(B56,cennik!$A:$G,2,FALSE)</f>
        <v>SEVROLL zamek do drzwi przesuwnych 10/18mm</v>
      </c>
      <c r="D56" s="27"/>
      <c r="E56" s="193">
        <f>+VLOOKUP(B56,cennik!$A:$G,3,FALSE)</f>
        <v>66.840599999999995</v>
      </c>
      <c r="F56" s="99">
        <f t="shared" si="2"/>
        <v>0</v>
      </c>
      <c r="G56" s="98">
        <f t="shared" si="3"/>
        <v>0</v>
      </c>
      <c r="H56" s="5" t="str">
        <f>cennik!$B$2</f>
        <v>zł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szczotka przeciwkurzowa samoprzylepna</v>
      </c>
      <c r="B57" s="15">
        <v>308639</v>
      </c>
      <c r="C57" s="23" t="str">
        <f>+VLOOKUP(B57,cennik!$A:$G,2,FALSE)</f>
        <v>SEVROLL szczotka przeciwkurzowa z klejem 6,7x13mm szara</v>
      </c>
      <c r="D57" s="27"/>
      <c r="E57" s="193">
        <f>+VLOOKUP(B57,cennik!$A:$G,3,FALSE)</f>
        <v>1.2647999999999999</v>
      </c>
      <c r="F57" s="99">
        <f t="shared" si="2"/>
        <v>0</v>
      </c>
      <c r="G57" s="98">
        <f t="shared" si="3"/>
        <v>0</v>
      </c>
      <c r="H57" s="5" t="str">
        <f>cennik!$B$2</f>
        <v>zł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rysunek techniczny tego systemu</v>
      </c>
      <c r="D60" s="73" t="str">
        <f>+Faworyt!D61</f>
        <v>w sumie (bez VAT)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zł</v>
      </c>
      <c r="I60" s="166"/>
      <c r="K60" s="166"/>
    </row>
    <row r="61" spans="1:14" ht="12.75" customHeight="1" x14ac:dyDescent="0.25">
      <c r="A61" s="70" t="str">
        <f>System10!$A$67</f>
        <v>Uwagi</v>
      </c>
      <c r="B61" s="710"/>
      <c r="C61" s="711"/>
      <c r="D61" s="711"/>
      <c r="E61" s="711"/>
      <c r="F61" s="711"/>
      <c r="G61" s="712"/>
      <c r="H61" s="5"/>
      <c r="L61" s="4" t="str">
        <f>texty!$A$128</f>
        <v>srebrny</v>
      </c>
      <c r="M61" s="19" t="s">
        <v>968</v>
      </c>
    </row>
    <row r="62" spans="1:14" ht="12.75" customHeight="1" x14ac:dyDescent="0.25">
      <c r="A62" s="709" t="str">
        <f>profil!$U$15</f>
        <v/>
      </c>
      <c r="B62" s="695"/>
      <c r="C62" s="695"/>
      <c r="D62" s="695"/>
      <c r="E62" s="695"/>
      <c r="F62" s="695"/>
      <c r="G62" s="695"/>
      <c r="H62" s="695"/>
      <c r="L62" s="4" t="str">
        <f>texty!$A$130</f>
        <v>j.brąz</v>
      </c>
      <c r="M62" s="19" t="s">
        <v>42</v>
      </c>
    </row>
    <row r="63" spans="1:14" ht="12.75" customHeight="1" x14ac:dyDescent="0.25">
      <c r="A63" s="696" t="str">
        <f>IF(N63=1,texty!$A$215,IF(K63&gt;0,texty!$A$214,""))</f>
        <v>niektóre elementy nie są produkowane w wybranej długości</v>
      </c>
      <c r="B63" s="696"/>
      <c r="C63" s="696"/>
      <c r="D63" s="696"/>
      <c r="E63" s="696"/>
      <c r="F63" s="696"/>
      <c r="G63" s="696"/>
      <c r="H63" s="696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5" t="s">
        <v>585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 2 742 mm /")</f>
        <v>wysokość / max. 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27" customHeight="1" x14ac:dyDescent="0.25">
      <c r="A4" s="9" t="str">
        <f>texty!A70</f>
        <v>WEWNĘTRZNY ROZMIAR SZAFY:</v>
      </c>
      <c r="B4" s="52"/>
      <c r="C4" s="52"/>
      <c r="D4" s="20"/>
      <c r="E4" s="194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Maksymalny wymiar skrzydła w lustrze 2400x700mm</v>
      </c>
      <c r="C12" s="387"/>
      <c r="D12" s="7"/>
      <c r="E12" s="7"/>
      <c r="G12" s="5"/>
      <c r="L12" s="5"/>
    </row>
    <row r="13" spans="1:16" ht="19.95" customHeight="1" x14ac:dyDescent="0.25">
      <c r="A13" s="681" t="str">
        <f>IF(SUM(D39:D40)&gt;0,texty!A246,"")</f>
        <v/>
      </c>
      <c r="B13" s="681"/>
      <c r="C13" s="714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1"/>
      <c r="B14" s="681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partnerska zniżka:</v>
      </c>
      <c r="H22" s="5"/>
      <c r="L22" s="5"/>
    </row>
    <row r="23" spans="1:12" ht="12.75" customHeight="1" x14ac:dyDescent="0.25">
      <c r="A23" s="123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J24" s="16"/>
      <c r="L24" s="16"/>
    </row>
    <row r="25" spans="1:12" ht="12.75" customHeight="1" x14ac:dyDescent="0.25">
      <c r="A25" s="6" t="str">
        <f>+Faworyt!A26</f>
        <v>tor górny: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Tor dolny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profil maskujący (maskownica):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14">
        <v>228023</v>
      </c>
      <c r="C28" s="475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4">
        <f>IF(F4=M64,362316,229440)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szczotka odbojowa</v>
      </c>
      <c r="B30" s="14">
        <v>229433</v>
      </c>
      <c r="C30" s="47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Akcesoria:</v>
      </c>
      <c r="B33" s="14"/>
      <c r="C33" s="23"/>
      <c r="D33" s="371" t="str">
        <f>+Faworyt!D34</f>
        <v>podaj ilość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pozycjoner wózka górnego</v>
      </c>
      <c r="B34" s="170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3.74519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pozycjoner</v>
      </c>
      <c r="B35" s="14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Tłumienie MINI do 25 kg (para)</v>
      </c>
      <c r="B36" s="14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Tłumienie MINI do 40 kg (para)</v>
      </c>
      <c r="B37" s="22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Tłumienie MINI do 60 kg (para)</v>
      </c>
      <c r="B38" s="22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 xml:space="preserve"> Tłumienie do skrzydła środkowego do 25 kg </v>
      </c>
      <c r="B39" s="22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 xml:space="preserve"> Tłumienie do skrzydła środkowego do 40 kg </v>
      </c>
      <c r="B40" s="22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tłumienie (para)25 kg</v>
      </c>
      <c r="B41" s="22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tłumienie (para) 50 kg</v>
      </c>
      <c r="B42" s="22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Klamra szczotki odbojowej</v>
      </c>
      <c r="B43" s="14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profil łączący H18-3metry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Teownik -3metry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Teownik decor -3metry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/gładki/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kątownik mini 11x17mm - 1,7m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kątownik mini 11x17mm - 2,35m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kątownik mini 11x17mm - 3,00m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kątownik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kątownik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kątownik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zacisk do dylatacji wypełnienia 16 mm</v>
      </c>
      <c r="B55" s="14">
        <v>308631</v>
      </c>
      <c r="C55" s="47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zamek do drzwi przesuwnych</v>
      </c>
      <c r="B56" s="22">
        <v>216363</v>
      </c>
      <c r="C56" s="47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szczotka przeciwkurzowa samoprzylepna</v>
      </c>
      <c r="B57" s="22">
        <v>308639</v>
      </c>
      <c r="C57" s="23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+F57*(100-G23)/100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 xml:space="preserve">tutaj można znaleźć inne akcesoria 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rysunek techniczny tego systemu</v>
      </c>
      <c r="B62" s="15"/>
      <c r="C62" s="23"/>
      <c r="D62" s="72" t="str">
        <f>+Faworyt!D61</f>
        <v>w sumie (bez VAT)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zł</v>
      </c>
      <c r="I62" s="166"/>
      <c r="J62" s="166"/>
      <c r="L62" s="5"/>
    </row>
    <row r="63" spans="1:13" ht="12.75" customHeight="1" x14ac:dyDescent="0.25">
      <c r="A63" s="70" t="str">
        <f>System10!A67</f>
        <v>Uwagi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5"/>
      <c r="C64" s="695"/>
      <c r="D64" s="695"/>
      <c r="E64" s="695"/>
      <c r="F64" s="695"/>
      <c r="G64" s="695"/>
      <c r="H64" s="695"/>
      <c r="K64" s="5">
        <v>64</v>
      </c>
      <c r="L64" s="4" t="str">
        <f>data!J4</f>
        <v>srebrny</v>
      </c>
      <c r="M64" s="19" t="s">
        <v>968</v>
      </c>
    </row>
    <row r="65" spans="1:14" ht="12.75" customHeight="1" x14ac:dyDescent="0.25">
      <c r="A65" s="696" t="str">
        <f>IF(N65=1,texty!A215,IF(J65&gt;0,texty!A214,""))</f>
        <v>niektóre elementy nie są produkowane w wybranej długości</v>
      </c>
      <c r="B65" s="696"/>
      <c r="C65" s="696"/>
      <c r="D65" s="696"/>
      <c r="E65" s="696"/>
      <c r="F65" s="696"/>
      <c r="G65" s="696"/>
      <c r="H65" s="696"/>
      <c r="J65" s="5" t="e">
        <f>SUM(J25:J57)</f>
        <v>#N/A</v>
      </c>
      <c r="L65" s="4" t="str">
        <f>data!J6</f>
        <v>j.brąz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j.brąz szczotkowany</v>
      </c>
    </row>
    <row r="67" spans="1:14" ht="12.75" hidden="1" customHeight="1" x14ac:dyDescent="0.25">
      <c r="L67" s="4" t="str">
        <f>data!J8</f>
        <v>szczot.oliwa ciemna</v>
      </c>
    </row>
    <row r="68" spans="1:14" ht="12.75" hidden="1" customHeight="1" x14ac:dyDescent="0.25">
      <c r="L68" s="4" t="str">
        <f>data!J9</f>
        <v>szczot.czarna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5" t="s">
        <v>833</v>
      </c>
      <c r="B2" s="317" t="str">
        <f>profil!T7</f>
        <v>Klient, , NIP: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3">
      <c r="A3" s="582" t="str">
        <f>CONCATENATE(texty!A243," ",7,".",39)</f>
        <v>Katalog Okuć meblowych 2024 str. 7.39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5">
      <c r="A4" s="321" t="str">
        <f>texty!A70</f>
        <v>WEWNĘTRZNY ROZMIAR SZAFY:</v>
      </c>
      <c r="B4" s="52"/>
      <c r="C4" s="52"/>
      <c r="D4" s="20"/>
      <c r="E4" s="194"/>
      <c r="F4" s="194"/>
      <c r="G4" s="680"/>
      <c r="H4" s="680"/>
      <c r="I4" s="680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5">
      <c r="A5" s="321"/>
      <c r="B5" s="679" t="str">
        <f>texty!A45</f>
        <v>wypełnij 5 pól !!!!! informacje w mm</v>
      </c>
      <c r="C5" s="679"/>
      <c r="D5" s="679"/>
      <c r="E5" s="679"/>
      <c r="F5" s="19"/>
      <c r="G5" s="680"/>
      <c r="H5" s="680"/>
      <c r="I5" s="680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5">
      <c r="A6" s="321"/>
      <c r="B6" s="593" t="str">
        <f>IF(D4=4,texty!A227,"")</f>
        <v/>
      </c>
      <c r="C6" s="19"/>
      <c r="D6" s="338"/>
      <c r="E6" s="15"/>
      <c r="F6" s="19"/>
      <c r="G6" s="680"/>
      <c r="H6" s="680"/>
      <c r="I6" s="680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5">
      <c r="A7" s="322" t="str">
        <f>texty!A71</f>
        <v>skrzydło drzwi:</v>
      </c>
      <c r="B7" s="53" t="str">
        <f>IF(B4&gt;0,B4-40,"")</f>
        <v/>
      </c>
      <c r="C7" s="462" t="str">
        <f>IFERROR((((C4-3+(25*(D4-1)))/D4+IF(AND(D4=4,D6=2),L1,0))),texty!A235)</f>
        <v> Maksymalna szerokość skrzydła może wynosić 1 100 mm !!!!!</v>
      </c>
      <c r="D7" s="15"/>
      <c r="E7" s="15"/>
      <c r="F7" s="19"/>
      <c r="G7" s="330" t="str">
        <f>texty!A42</f>
        <v>U szklanych wypełnień (lub lustra)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5">
      <c r="A8" s="322" t="str">
        <f>texty!A73</f>
        <v>rozmiar lustra /szkła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należy wybrać bezpieczną szybę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5">
      <c r="A9" s="322" t="str">
        <f>texty!A74</f>
        <v>długość toru i listwy maskującej skrzydła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ew. zabezpieczyć ją folią ochronną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Tor górny / dolny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rączka</v>
      </c>
      <c r="B11" s="380" t="str">
        <f>+B7</f>
        <v/>
      </c>
      <c r="C11" s="381"/>
      <c r="D11" s="15"/>
      <c r="E11" s="15"/>
      <c r="F11" s="19"/>
      <c r="G11" s="21" t="str">
        <f>texty!A43</f>
        <v>Maksymalna waga skrzydła to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1" t="str">
        <f>IF(SUM(D51:D52)&gt;0,texty!A245,"")</f>
        <v/>
      </c>
      <c r="B13" s="681"/>
      <c r="C13" s="584" t="str">
        <f>IFERROR((IF(C7&gt;1100,texty!A235,""))," ")</f>
        <v> Maksymalna szerokość skrzydła może wynosić 1 100 mm !!!!!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84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84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85" t="s">
        <v>975</v>
      </c>
      <c r="K22" s="5"/>
      <c r="S22" s="150"/>
      <c r="T22" s="150"/>
      <c r="U22" s="150"/>
    </row>
    <row r="23" spans="1:21" ht="12.75" customHeight="1" x14ac:dyDescent="0.25">
      <c r="A23" s="399" t="s">
        <v>1001</v>
      </c>
      <c r="B23" s="15"/>
      <c r="C23" s="15"/>
      <c r="D23" s="15"/>
      <c r="E23" s="15"/>
      <c r="F23" s="22"/>
      <c r="G23" s="22"/>
      <c r="H23" s="22"/>
      <c r="I23" s="685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partnerska zniżka: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Kody zamówieniowe, ceny: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kod</v>
      </c>
      <c r="C28" s="18" t="str">
        <f>texty!A16</f>
        <v>nazwa</v>
      </c>
      <c r="D28" s="17" t="str">
        <f>texty!A17</f>
        <v>szt.</v>
      </c>
      <c r="E28" s="17" t="str">
        <f>texty!A18</f>
        <v>cena/szt.</v>
      </c>
      <c r="F28" s="17" t="str">
        <f>texty!A19</f>
        <v>cena w sumie</v>
      </c>
      <c r="G28" s="18" t="str">
        <f>texty!A20</f>
        <v>w sumie netto:</v>
      </c>
      <c r="H28" s="22"/>
      <c r="I28" s="18" t="str">
        <f>texty!A29</f>
        <v>Uwagi: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Tor górny: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zł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Tor dolny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profil maskujący (maskownica):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górne wózki</v>
      </c>
      <c r="B32" s="14">
        <v>228009</v>
      </c>
      <c r="C32" s="23" t="str">
        <f>+VLOOKUP(B32,cennik!A:G,2,FALSE)</f>
        <v>SEVROLL wózek górny Gemini symetryczny 10mm - 2szt</v>
      </c>
      <c r="D32" s="15">
        <f>IF((D53+D54)&gt;D4,0,D4-(D53+D54))</f>
        <v>0</v>
      </c>
      <c r="E32" s="86">
        <f>+VLOOKUP(B32,cennik!A:G,3,FALSE)</f>
        <v>23.174399999999999</v>
      </c>
      <c r="F32" s="86">
        <f t="shared" si="0"/>
        <v>0</v>
      </c>
      <c r="G32" s="87">
        <f>+F32*(100-G27)/100</f>
        <v>0</v>
      </c>
      <c r="H32" s="22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dolne wózki</v>
      </c>
      <c r="B33" s="14">
        <f>IF(F4=L60,328321,229441)</f>
        <v>229441</v>
      </c>
      <c r="C33" s="23" t="str">
        <f>+VLOOKUP(B33,cennik!A:G,2,FALSE)</f>
        <v>SEVROLL wózek dolny WD 10C HI-TEC - 2szt</v>
      </c>
      <c r="D33" s="15">
        <f>+D4</f>
        <v>0</v>
      </c>
      <c r="E33" s="86">
        <f>+VLOOKUP(B33,cennik!A:G,3,FALSE)</f>
        <v>26.3874</v>
      </c>
      <c r="F33" s="86">
        <f t="shared" si="0"/>
        <v>0</v>
      </c>
      <c r="G33" s="87">
        <f>+F33*(100-G27)/100</f>
        <v>0</v>
      </c>
      <c r="H33" s="22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szczotka odbojowa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rączka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śruba łącząca</v>
      </c>
      <c r="B36" s="14">
        <v>89244</v>
      </c>
      <c r="C36" s="23" t="str">
        <f>+VLOOKUP(B36,cennik!A:G,2,FALSE)</f>
        <v>SEVROLL blachowkręt 6,3x32 SEVROLL i Simple</v>
      </c>
      <c r="D36" s="15">
        <f>+D4*4</f>
        <v>0</v>
      </c>
      <c r="E36" s="86">
        <f>+VLOOKUP(B36,cennik!A:G,3,FALSE)</f>
        <v>0.52500000000000002</v>
      </c>
      <c r="F36" s="86">
        <f t="shared" si="0"/>
        <v>0</v>
      </c>
      <c r="G36" s="461">
        <f>+F36*(100-G27)/100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listwa pozioma górna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zł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poziomy dolny profil ramy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 Zaślepka otworu (4 szt. 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3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Akcesoria:</v>
      </c>
      <c r="B42" s="13"/>
      <c r="D42" s="24" t="str">
        <f>texty!A33</f>
        <v>podaj ilość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pozycjoner wózka górnego</v>
      </c>
      <c r="B43" s="13">
        <v>298035</v>
      </c>
      <c r="C43" s="23" t="str">
        <f>+VLOOKUP(B43,cennik!A:G,2,FALSE)</f>
        <v>SEVROLL Fix pozycjoner wózka górnego transparentny</v>
      </c>
      <c r="D43" s="27"/>
      <c r="E43" s="265">
        <f>+VLOOKUP(B43,cennik!A:G,3,FALSE)</f>
        <v>3.74519</v>
      </c>
      <c r="F43" s="266">
        <f>+CEILING(D43,1)*E43</f>
        <v>0</v>
      </c>
      <c r="G43" s="87">
        <f>+F43*(100-G27)/100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pozycjoner</v>
      </c>
      <c r="B44" s="14">
        <f>IF(F4="Gemini",387424,89063)</f>
        <v>89063</v>
      </c>
      <c r="C44" s="23" t="str">
        <f>+VLOOKUP(B44,cennik!A:G,2,FALSE)</f>
        <v>SEVROLL pozycjoner wózka dolnego HI-TEC</v>
      </c>
      <c r="D44" s="27"/>
      <c r="E44" s="265">
        <f>+VLOOKUP(B44,cennik!A:G,3,FALSE)</f>
        <v>1.071</v>
      </c>
      <c r="F44" s="266">
        <f>+CEILING(D44,1)*E44</f>
        <v>0</v>
      </c>
      <c r="G44" s="87">
        <f>+F44*(100-G27)/100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Uchwyt naklejany, biały połysk</v>
      </c>
      <c r="B45" s="15">
        <v>288125</v>
      </c>
      <c r="C45" s="23" t="str">
        <f>+VLOOKUP(B45,cennik!A:G,2,FALSE)</f>
        <v>SEVROLL Pax uchwyt przyklejany biały</v>
      </c>
      <c r="D45" s="27"/>
      <c r="E45" s="265">
        <f>+VLOOKUP(B45,cennik!A:G,3,FALSE)</f>
        <v>31.518000000000001</v>
      </c>
      <c r="F45" s="266">
        <f>+CEILING(D45,1)*E45</f>
        <v>0</v>
      </c>
      <c r="G45" s="87">
        <f>+F45*(100-G27)/100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 Uchwyt naklejany, srebrny</v>
      </c>
      <c r="B46" s="22">
        <v>288126</v>
      </c>
      <c r="C46" s="23" t="str">
        <f>+VLOOKUP(B46,cennik!A:G,2,FALSE)</f>
        <v>SEVROLL Pax uchwyt przyklejany srebrny</v>
      </c>
      <c r="D46" s="27"/>
      <c r="E46" s="86">
        <f>+VLOOKUP(B46,cennik!A:G,3,FALSE)</f>
        <v>24.255600000000001</v>
      </c>
      <c r="F46" s="91">
        <f>+CEILING(D46,1)*E46</f>
        <v>0</v>
      </c>
      <c r="G46" s="87">
        <f>+F46*(100-G27)/100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 Wzmocnienie – profil 3 m</v>
      </c>
      <c r="B47" s="22">
        <v>283904</v>
      </c>
      <c r="C47" s="23" t="str">
        <f>+VLOOKUP(B47,cennik!A:G,2,FALSE)</f>
        <v>SEVROLL Pax listwa montażowa 3m srebrny</v>
      </c>
      <c r="D47" s="27"/>
      <c r="E47" s="86">
        <f>+VLOOKUP(B47,cennik!A:G,3,FALSE)</f>
        <v>101.1024</v>
      </c>
      <c r="F47" s="91">
        <f>+CEILING(D47,1)*E47</f>
        <v>0</v>
      </c>
      <c r="G47" s="87">
        <f>+F47*(100-G27)/100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 Tłumienie MINI do 25 kg (para)</v>
      </c>
      <c r="B48" s="14">
        <v>318662</v>
      </c>
      <c r="C48" s="23" t="str">
        <f>+VLOOKUP(B48,cennik!A:G,2,FALSE)</f>
        <v>SEVROLL tłumienie Mini SV25 (14-25kg)</v>
      </c>
      <c r="D48" s="27"/>
      <c r="E48" s="86">
        <f>+VLOOKUP(B48,cennik!A:G,3,FALSE)</f>
        <v>96.889799999999994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 Tłumienie MINI do 40 kg (para)</v>
      </c>
      <c r="B49" s="22">
        <v>283956</v>
      </c>
      <c r="C49" s="23" t="str">
        <f>+VLOOKUP(B49,cennik!A:G,2,FALSE)</f>
        <v>SEVROLL tłumienie Mini SV40 (25 - 40kg)</v>
      </c>
      <c r="D49" s="27"/>
      <c r="E49" s="86">
        <f>+VLOOKUP(B49,cennik!A:G,3,FALSE)</f>
        <v>96.889799999999994</v>
      </c>
      <c r="F49" s="91">
        <f t="shared" si="1"/>
        <v>0</v>
      </c>
      <c r="G49" s="87">
        <f>+F49*(100-G27)/100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 Tłumienie MINI do 60 kg (para)</v>
      </c>
      <c r="B50" s="22">
        <v>351743</v>
      </c>
      <c r="C50" s="23" t="str">
        <f>+VLOOKUP(B50,cennik!A:G,2,FALSE)</f>
        <v>SEVROLL tłumienie Mini SV60 (40 - 60kg)</v>
      </c>
      <c r="D50" s="27"/>
      <c r="E50" s="86">
        <f>+VLOOKUP(B50,cennik!A:G,3,FALSE)</f>
        <v>96.889799999999994</v>
      </c>
      <c r="F50" s="91">
        <f t="shared" si="1"/>
        <v>0</v>
      </c>
      <c r="G50" s="87">
        <f>+F50*(100-G27)/100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 xml:space="preserve"> Tłumienie do skrzydła środkowego do 25 kg </v>
      </c>
      <c r="B51" s="22">
        <v>318663</v>
      </c>
      <c r="C51" s="23" t="str">
        <f>+VLOOKUP(B51,cennik!A:G,2,FALSE)</f>
        <v>SEVROLL tłumienie Central 10/18mm obustronne 25kg</v>
      </c>
      <c r="D51" s="27"/>
      <c r="E51" s="86">
        <f>+VLOOKUP(B51,cennik!A:G,3,FALSE)</f>
        <v>206.958</v>
      </c>
      <c r="F51" s="91">
        <f t="shared" si="1"/>
        <v>0</v>
      </c>
      <c r="G51" s="87">
        <f>+F51*(100-G27)/100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 xml:space="preserve"> Tłumienie do skrzydła środkowego do 40 kg </v>
      </c>
      <c r="B52" s="22">
        <v>283955</v>
      </c>
      <c r="C52" s="23" t="str">
        <f>+VLOOKUP(B52,cennik!A:G,2,FALSE)</f>
        <v>SEVROLL tłumienie Central 10/18mm obustronne 25-40kg</v>
      </c>
      <c r="D52" s="27"/>
      <c r="E52" s="86">
        <f>+VLOOKUP(B52,cennik!A:G,3,FALSE)</f>
        <v>206.958</v>
      </c>
      <c r="F52" s="91">
        <f t="shared" si="1"/>
        <v>0</v>
      </c>
      <c r="G52" s="87">
        <f>+F52*(100-G27)/100</f>
        <v>0</v>
      </c>
      <c r="H52" s="22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tłumienie (para)25 kg</v>
      </c>
      <c r="B53" s="22">
        <v>227185</v>
      </c>
      <c r="C53" s="23" t="str">
        <f>+VLOOKUP(B53,cennik!A:G,2,FALSE)</f>
        <v>K-SEVROLL tłumienie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tłumienie (para) 50 kg</v>
      </c>
      <c r="B54" s="22">
        <v>227187</v>
      </c>
      <c r="C54" s="23" t="str">
        <f>+VLOOKUP(B54,cennik!A:G,2,FALSE)</f>
        <v>K-SEVROLL tłumienie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28"/>
      <c r="E55" s="86">
        <f>+VLOOKUP(B55,cennik!A:G,3,FALSE)</f>
        <v>0.80579999999999996</v>
      </c>
      <c r="F55" s="86">
        <f>+E55*D55</f>
        <v>0</v>
      </c>
      <c r="G55" s="87">
        <f>+F55*(100-G27)/100</f>
        <v>0</v>
      </c>
      <c r="H55" s="22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śruba łącząca</v>
      </c>
      <c r="B56" s="14">
        <v>89244</v>
      </c>
      <c r="C56" s="23" t="str">
        <f>+VLOOKUP(B56,cennik!A:G,2,FALSE)</f>
        <v>SEVROLL blachowkręt 6,3x32 SEVROLL i Simple</v>
      </c>
      <c r="D56" s="354"/>
      <c r="E56" s="86">
        <f>+VLOOKUP(B56,cennik!A:G,3,FALSE)</f>
        <v>0.52500000000000002</v>
      </c>
      <c r="F56" s="86">
        <f>+E56*D56</f>
        <v>0</v>
      </c>
      <c r="G56" s="87">
        <f>+F56*(100-G27)/100</f>
        <v>0</v>
      </c>
      <c r="H56" s="22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5">
      <c r="A59" s="328" t="str">
        <f>texty!A190</f>
        <v xml:space="preserve">tutaj można znaleźć inne akcesoria 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rysunek techniczny tego systemu</v>
      </c>
      <c r="B60" s="196">
        <v>128842</v>
      </c>
      <c r="C60" s="153" t="str">
        <f>VLOOKUP(B60,cennik!A:C,2,0)</f>
        <v>SEVROLL wiertło stopniowe 6,5/9,5mm</v>
      </c>
      <c r="D60" s="41"/>
      <c r="E60" s="86">
        <f>+VLOOKUP(B60,cennik!A:G,3,FALSE)</f>
        <v>116.85122</v>
      </c>
      <c r="F60" s="91">
        <f>+CEILING(D60,1)*E60</f>
        <v>0</v>
      </c>
      <c r="G60" s="87">
        <f>F60</f>
        <v>0</v>
      </c>
      <c r="H60" s="5" t="str">
        <f>cennik!B2</f>
        <v>zł</v>
      </c>
      <c r="I60" s="174"/>
      <c r="J60" s="174" t="str">
        <f>IF(D60&gt;0,IF(VLOOKUP(B60,cennik!A:L,12,FALSE)="O",1,""),"")</f>
        <v/>
      </c>
      <c r="K60" s="4" t="str">
        <f>texty!A128</f>
        <v>srebrny</v>
      </c>
      <c r="L60" s="4" t="s">
        <v>968</v>
      </c>
    </row>
    <row r="61" spans="1:12" ht="12.75" customHeight="1" x14ac:dyDescent="0.25">
      <c r="A61" s="683" t="str">
        <f>IF(SUM(D53:D54)&gt;0,IF(C7&lt;(B4/3),texty!A212,""),"")</f>
        <v/>
      </c>
      <c r="B61" s="683"/>
      <c r="C61" s="683"/>
      <c r="D61" s="683"/>
      <c r="E61" s="683"/>
      <c r="F61" s="683"/>
      <c r="G61" s="683"/>
      <c r="H61" s="683"/>
      <c r="I61" s="683"/>
      <c r="J61" s="126"/>
      <c r="K61" s="4" t="str">
        <f>texty!A132</f>
        <v> biały połysk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w sumie (bez VAT)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zł</v>
      </c>
      <c r="I62" s="22"/>
      <c r="J62" s="166"/>
      <c r="K62" s="4" t="str">
        <f>data!J17</f>
        <v> czarny mat</v>
      </c>
    </row>
    <row r="63" spans="1:12" ht="12.75" customHeight="1" x14ac:dyDescent="0.25">
      <c r="A63" s="337" t="str">
        <f>texty!A14</f>
        <v>Uwagi</v>
      </c>
      <c r="B63" s="674"/>
      <c r="C63" s="675"/>
      <c r="D63" s="675"/>
      <c r="E63" s="675"/>
      <c r="F63" s="675"/>
      <c r="G63" s="675"/>
      <c r="H63" s="22"/>
      <c r="I63" s="22"/>
      <c r="J63" s="166"/>
    </row>
    <row r="64" spans="1:12" ht="12.75" customHeight="1" x14ac:dyDescent="0.25">
      <c r="A64" s="676" t="str">
        <f>profil!U15</f>
        <v/>
      </c>
      <c r="B64" s="677"/>
      <c r="C64" s="677"/>
      <c r="D64" s="677"/>
      <c r="E64" s="677"/>
      <c r="F64" s="677"/>
      <c r="G64" s="677"/>
      <c r="H64" s="22"/>
      <c r="I64" s="22"/>
    </row>
    <row r="65" spans="1:13" ht="12.75" customHeight="1" x14ac:dyDescent="0.25">
      <c r="A65" s="678" t="str">
        <f>IF(M65=1,texty!A215,IF(J65&gt;0,texty!A214,""))</f>
        <v>niektóre elementy nie są produkowane w wybranej długości</v>
      </c>
      <c r="B65" s="678"/>
      <c r="C65" s="678"/>
      <c r="D65" s="678"/>
      <c r="E65" s="678"/>
      <c r="F65" s="678"/>
      <c r="G65" s="678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5" t="s">
        <v>851</v>
      </c>
      <c r="B2" s="50" t="str">
        <f>profil!T7</f>
        <v>Klient, , NIP: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K3" s="5"/>
    </row>
    <row r="4" spans="1:15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7"/>
    </row>
    <row r="5" spans="1:15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4"/>
      <c r="G5" s="693"/>
      <c r="H5" s="693"/>
      <c r="I5" s="693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długość rączki (+ 2 mm 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Nie można łączyć ze szkłem / lustrem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597"/>
      <c r="C11" s="600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1" t="str">
        <f>IF(SUM(D39:D40)&gt;0,texty!A246,"")</f>
        <v/>
      </c>
      <c r="B12" s="681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1"/>
      <c r="B13" s="681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1"/>
      <c r="B14" s="681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1"/>
      <c r="B15" s="681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84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84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85" t="s">
        <v>975</v>
      </c>
      <c r="K19" s="5"/>
    </row>
    <row r="20" spans="1:11" ht="14.25" customHeight="1" x14ac:dyDescent="0.25">
      <c r="A20" s="398" t="s">
        <v>1000</v>
      </c>
      <c r="B20" s="7"/>
      <c r="C20" s="25"/>
      <c r="D20" s="7"/>
      <c r="E20" s="7"/>
      <c r="F20" s="7"/>
      <c r="G20" s="5"/>
      <c r="H20" s="5"/>
      <c r="I20" s="685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partnerska zniżka:</v>
      </c>
      <c r="H22" s="5"/>
      <c r="K22" s="5"/>
    </row>
    <row r="23" spans="1:11" ht="12.75" customHeight="1" x14ac:dyDescent="0.25">
      <c r="A23" s="123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K24" s="16"/>
    </row>
    <row r="25" spans="1:11" ht="12.75" customHeight="1" x14ac:dyDescent="0.25">
      <c r="A25" s="6" t="str">
        <f>+Faworyt!A26</f>
        <v>tor górny: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Tor dolny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profil maskujący (maskownica):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górne wózki</v>
      </c>
      <c r="B28" s="66">
        <v>228023</v>
      </c>
      <c r="C28" s="475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dolne wózki</v>
      </c>
      <c r="B29" s="170">
        <f>IF(F4=M63,362316,229440)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szczotka odbojowa</v>
      </c>
      <c r="B30" s="170">
        <v>229433</v>
      </c>
      <c r="C30" s="47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rączka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Akcesoria:</v>
      </c>
      <c r="B33" s="170"/>
      <c r="C33" s="23"/>
      <c r="D33" s="371" t="str">
        <f>+Faworyt!D34</f>
        <v>podaj ilość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pozycjoner wózka górnego</v>
      </c>
      <c r="B34" s="170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3.74519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>pozycjoner</v>
      </c>
      <c r="B35" s="170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 Tłumienie MINI do 25 kg (para)</v>
      </c>
      <c r="B36" s="170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Klamra szczotki odbojowej</v>
      </c>
      <c r="B43" s="170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profil łączący H18-3metry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Teownik -3metry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Teownik decor -3metry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na DTD 18mm- 3 metry /gładki/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na DTD 18mm- 3 metry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kątownik mini 11x17mm - 1,7m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kątownik mini 11x17mm - 2,35m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kątownik mini 11x17mm - 3,00m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kątownik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kątownik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kątownik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zamek do drzwi przesuwnych</v>
      </c>
      <c r="B55" s="66">
        <v>216363</v>
      </c>
      <c r="C55" s="475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rysunek techniczny tego systemu</v>
      </c>
      <c r="C59" s="36"/>
      <c r="D59" s="74" t="str">
        <f>+Faworyt!D61</f>
        <v>w sumie (bez VAT)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zł</v>
      </c>
      <c r="J59" s="166"/>
      <c r="K59" s="5"/>
    </row>
    <row r="60" spans="1:14" ht="12.75" customHeight="1" x14ac:dyDescent="0.25">
      <c r="A60" s="70" t="str">
        <f>System10!A67</f>
        <v>Uwagi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5"/>
      <c r="C61" s="695"/>
      <c r="D61" s="695"/>
      <c r="E61" s="695"/>
      <c r="F61" s="695"/>
      <c r="G61" s="695"/>
      <c r="H61" s="695"/>
      <c r="K61" s="5"/>
    </row>
    <row r="62" spans="1:14" ht="12.75" customHeight="1" x14ac:dyDescent="0.25">
      <c r="A62" s="696" t="str">
        <f>IF(N62=1,texty!A215,IF(J62&gt;0,texty!A214,""))</f>
        <v>niektóre elementy nie są produkowane w wybranej długości</v>
      </c>
      <c r="B62" s="696"/>
      <c r="C62" s="696"/>
      <c r="D62" s="696"/>
      <c r="E62" s="696"/>
      <c r="F62" s="696"/>
      <c r="G62" s="696"/>
      <c r="H62" s="696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srebrny</v>
      </c>
      <c r="M63" s="19" t="s">
        <v>968</v>
      </c>
    </row>
    <row r="64" spans="1:14" ht="12.75" hidden="1" customHeight="1" x14ac:dyDescent="0.25">
      <c r="H64" s="127"/>
      <c r="L64" s="4" t="str">
        <f>texty!A130</f>
        <v>j.brąz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5" t="s">
        <v>828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długość rączki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Nie można łączyć ze szkłem / lustrem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IF(SUM(D39:D40)&gt;0,texty!A246,"")</f>
        <v/>
      </c>
      <c r="B11" s="681"/>
      <c r="C11" s="600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1"/>
      <c r="B13" s="681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4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85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partnerska zniżka:</v>
      </c>
      <c r="H22" s="5"/>
      <c r="L22" s="5"/>
    </row>
    <row r="23" spans="1:12" ht="12.75" customHeight="1" x14ac:dyDescent="0.25">
      <c r="A23" s="123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K24" s="16"/>
      <c r="L24" s="16"/>
    </row>
    <row r="25" spans="1:12" ht="12.75" customHeight="1" x14ac:dyDescent="0.25">
      <c r="A25" s="6" t="str">
        <f>+Faworyt!A26</f>
        <v>tor górny: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Tor dolny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profil maskujący (maskownica):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66">
        <v>228023</v>
      </c>
      <c r="C28" s="475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70">
        <f>IF(F4=M63,362316,229440)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szczotka odbojowa</v>
      </c>
      <c r="B30" s="170">
        <v>89131</v>
      </c>
      <c r="C30" s="475" t="str">
        <f>+VLOOKUP(B30,cennik!A:G,2,FALSE)</f>
        <v>SEVROLL szczotka odbojowa z klejem 6,7x4 mm, szara</v>
      </c>
      <c r="D30" s="15">
        <f>CEILING((B4*D4*2/1000),1)</f>
        <v>0</v>
      </c>
      <c r="E30" s="193">
        <f>+VLOOKUP(B30,cennik!A:G,3,FALSE)</f>
        <v>1.0506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Akcesoria:</v>
      </c>
      <c r="B33" s="170"/>
      <c r="C33" s="23"/>
      <c r="D33" s="371" t="str">
        <f>+Faworyt!D34</f>
        <v>podaj ilość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pozycjoner wózka górnego</v>
      </c>
      <c r="B34" s="170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3.74519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>pozycjoner</v>
      </c>
      <c r="B35" s="170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Tłumienie MINI do 25 kg (para)</v>
      </c>
      <c r="B36" s="170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Klamra szczotki odbojowej</v>
      </c>
      <c r="B43" s="170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profil łączący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Teownik -3metry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Teownik decor -3metry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na DTD 18mm- 3 metry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kątownik mini 11x17mm - 3,00m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kątownik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kątownik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zamek do drzwi przesuwnych</v>
      </c>
      <c r="B55" s="66">
        <v>216363</v>
      </c>
      <c r="C55" s="475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rysunek techniczny tego systemu</v>
      </c>
      <c r="C59" s="36"/>
      <c r="D59" s="73" t="str">
        <f>+Faworyt!D61</f>
        <v>w sumie (bez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zł</v>
      </c>
      <c r="J59" s="166"/>
      <c r="K59" s="166"/>
      <c r="L59" s="5"/>
    </row>
    <row r="60" spans="1:14" ht="12.75" customHeight="1" x14ac:dyDescent="0.25">
      <c r="A60" s="70" t="str">
        <f>System10!A67</f>
        <v>Uwagi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5"/>
      <c r="C61" s="695"/>
      <c r="D61" s="695"/>
      <c r="E61" s="695"/>
      <c r="F61" s="695"/>
      <c r="G61" s="695"/>
      <c r="H61" s="695"/>
      <c r="L61" s="5"/>
    </row>
    <row r="62" spans="1:14" ht="12.75" customHeight="1" x14ac:dyDescent="0.25">
      <c r="A62" s="696" t="str">
        <f>IF(N62=1,texty!A215,IF(K62&gt;0,texty!A214,""))</f>
        <v>niektóre elementy nie są produkowane w wybranej długości</v>
      </c>
      <c r="B62" s="696"/>
      <c r="C62" s="696"/>
      <c r="D62" s="696"/>
      <c r="E62" s="696"/>
      <c r="F62" s="696"/>
      <c r="G62" s="696"/>
      <c r="H62" s="696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srebrny</v>
      </c>
      <c r="M63" s="19" t="s">
        <v>968</v>
      </c>
    </row>
    <row r="64" spans="1:14" ht="12.75" hidden="1" customHeight="1" x14ac:dyDescent="0.25">
      <c r="L64" s="4" t="str">
        <f>texty!A130</f>
        <v>j.brąz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5" t="s">
        <v>978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długość rączki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6.4" x14ac:dyDescent="0.25">
      <c r="A10" s="400" t="str">
        <f>texty!A64</f>
        <v>Nie można łączyć ze szkłem / lustrem</v>
      </c>
      <c r="B10" s="65"/>
      <c r="C10" s="601" t="str">
        <f>texty!A78</f>
        <v>dodatkowe zmniejszenie wysokośći wyliczonych wypełnień przy wykorzystaniu profili dzielących: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1" t="str">
        <f>IF(SUM(D39:D40)&gt;0,texty!A246,"")</f>
        <v/>
      </c>
      <c r="B11" s="681"/>
      <c r="C11" s="390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1"/>
      <c r="B12" s="681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1"/>
      <c r="B13" s="681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4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85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partnerska zniżka:</v>
      </c>
      <c r="H22" s="5"/>
      <c r="L22" s="5"/>
    </row>
    <row r="23" spans="1:12" ht="12.75" customHeight="1" x14ac:dyDescent="0.25">
      <c r="A23" s="123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J24" s="16"/>
      <c r="L24" s="16"/>
    </row>
    <row r="25" spans="1:12" ht="12.75" customHeight="1" x14ac:dyDescent="0.25">
      <c r="A25" s="6" t="str">
        <f>+Faworyt!A26</f>
        <v>tor górny: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Tor dolny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zł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profil maskujący (maskownica):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górne wózki</v>
      </c>
      <c r="B28" s="66">
        <v>228023</v>
      </c>
      <c r="C28" s="475" t="str">
        <f>+VLOOKUP(B28,cennik!A:G,2,FALSE)</f>
        <v>SEVROLL Focus wózek górny 18mm 2szt</v>
      </c>
      <c r="D28" s="15">
        <f>IF((D41+D42)&gt;D4,0,D4-(D42+D41))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70">
        <f>IF(F4=Ergo!M63,362316,229440)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szczotka odbojowa</v>
      </c>
      <c r="B30" s="170">
        <v>229433</v>
      </c>
      <c r="C30" s="47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Akcesoria:</v>
      </c>
      <c r="B33" s="170"/>
      <c r="C33" s="23"/>
      <c r="D33" s="371" t="str">
        <f>+Faworyt!D34</f>
        <v>podaj ilość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pozycjoner wózka górnego</v>
      </c>
      <c r="B34" s="170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3.74519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pozycjoner</v>
      </c>
      <c r="B35" s="170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Tłumienie MINI do 25 kg (para)</v>
      </c>
      <c r="B36" s="170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Klamra szczotki odbojowej</v>
      </c>
      <c r="B43" s="170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profil łączący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Teownik -3metry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Teownik decor -3metry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kątownik mini 11x17mm - 3,00m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kątownik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kątownik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zamek do drzwi przesuwnych</v>
      </c>
      <c r="B55" s="66">
        <v>216363</v>
      </c>
      <c r="C55" s="475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+F55*(100-F23)/100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rysunek techniczny tego systemu</v>
      </c>
      <c r="C59" s="36"/>
      <c r="D59" s="73" t="str">
        <f>+Faworyt!D61</f>
        <v>w sumie (bez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zł</v>
      </c>
      <c r="J59" s="166"/>
      <c r="K59" s="166"/>
      <c r="L59" s="5"/>
    </row>
    <row r="60" spans="1:14" ht="12.75" customHeight="1" x14ac:dyDescent="0.25">
      <c r="A60" s="70" t="str">
        <f>System10!A67</f>
        <v>Uwagi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5"/>
      <c r="C61" s="695"/>
      <c r="D61" s="695"/>
      <c r="E61" s="695"/>
      <c r="F61" s="695"/>
      <c r="G61" s="695"/>
      <c r="H61" s="695"/>
      <c r="L61" s="5"/>
    </row>
    <row r="62" spans="1:14" ht="12.75" customHeight="1" x14ac:dyDescent="0.25">
      <c r="A62" s="696" t="str">
        <f>IF(N62=1,texty!A215,IF(J62&gt;0,texty!A214,""))</f>
        <v>niektóre elementy nie są produkowane w wybranej długości</v>
      </c>
      <c r="B62" s="696"/>
      <c r="C62" s="696"/>
      <c r="D62" s="696"/>
      <c r="E62" s="696"/>
      <c r="F62" s="696"/>
      <c r="G62" s="696"/>
      <c r="H62" s="696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srebrny</v>
      </c>
      <c r="M63" s="19" t="s">
        <v>968</v>
      </c>
    </row>
    <row r="64" spans="1:14" ht="12.75" hidden="1" customHeight="1" x14ac:dyDescent="0.25">
      <c r="L64" s="4" t="str">
        <f>texty!A130</f>
        <v>j.brąz</v>
      </c>
      <c r="M64" s="19" t="s">
        <v>42</v>
      </c>
    </row>
    <row r="65" spans="12:12" ht="12.75" hidden="1" customHeight="1" x14ac:dyDescent="0.25">
      <c r="L65" s="4" t="str">
        <f>data!J5</f>
        <v>złoty/mosiądz</v>
      </c>
    </row>
    <row r="66" spans="12:12" ht="12.75" hidden="1" customHeight="1" x14ac:dyDescent="0.25">
      <c r="L66" s="4" t="str">
        <f>data!J17</f>
        <v> czarny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5" t="s">
        <v>567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 2 742 mm /")</f>
        <v>wysokość / max. 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693"/>
      <c r="H7" s="693"/>
      <c r="I7" s="693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długość rączki (+ 2 mm )</v>
      </c>
      <c r="B9" s="388">
        <f>B8+2</f>
        <v>-42</v>
      </c>
      <c r="C9" s="381"/>
      <c r="D9" s="7"/>
      <c r="E9" s="7"/>
      <c r="F9" s="7"/>
      <c r="G9" s="4" t="str">
        <f>Faworyt!G8</f>
        <v>Maksymalna waga skrzydła to 50 kg</v>
      </c>
      <c r="H9" s="5"/>
      <c r="L9" s="33"/>
      <c r="M9" s="32"/>
    </row>
    <row r="10" spans="1:16" ht="12.75" customHeight="1" x14ac:dyDescent="0.25">
      <c r="A10" s="154" t="str">
        <f>texty!A64</f>
        <v>Nie można łączyć ze szkłem / lustrem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IF(SUM(D38:D39)&gt;0,texty!A246,"")</f>
        <v/>
      </c>
      <c r="B11" s="681"/>
      <c r="C11" s="601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62"/>
      <c r="D12" s="7"/>
      <c r="H12" s="5"/>
      <c r="L12" s="5"/>
    </row>
    <row r="13" spans="1:16" ht="22.5" customHeight="1" x14ac:dyDescent="0.25">
      <c r="A13" s="681"/>
      <c r="B13" s="681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84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85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partnerska zniżka:</v>
      </c>
      <c r="H21" s="5"/>
      <c r="L21" s="5"/>
    </row>
    <row r="22" spans="1:12" ht="12.75" customHeight="1" x14ac:dyDescent="0.25">
      <c r="A22" s="123" t="str">
        <f>texty!A80</f>
        <v>Kody zamówieniowe, ceny: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kod</v>
      </c>
      <c r="C23" s="76" t="str">
        <f>+Faworyt!C25</f>
        <v>nazwa</v>
      </c>
      <c r="D23" s="76" t="str">
        <f>+Faworyt!D25</f>
        <v>szt.</v>
      </c>
      <c r="E23" s="76" t="str">
        <f>+Faworyt!E25</f>
        <v>cena/szt.</v>
      </c>
      <c r="F23" s="16" t="str">
        <f>+Faworyt!F25</f>
        <v>cena w sumie</v>
      </c>
      <c r="G23" s="16" t="str">
        <f>+Faworyt!G25</f>
        <v>w sumie netto:</v>
      </c>
      <c r="H23" s="16"/>
      <c r="I23" s="16" t="str">
        <f>texty!A29</f>
        <v>Uwagi:</v>
      </c>
      <c r="J23" s="16"/>
      <c r="L23" s="16"/>
    </row>
    <row r="24" spans="1:12" ht="12.75" customHeight="1" x14ac:dyDescent="0.25">
      <c r="A24" s="6" t="str">
        <f>+Faworyt!A26</f>
        <v>tor górny: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zł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Tor dolny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profil maskujący (maskownica):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górne wózki</v>
      </c>
      <c r="B27" s="66">
        <v>228023</v>
      </c>
      <c r="C27" s="475" t="str">
        <f>+VLOOKUP(B27,cennik!A:G,2,FALSE)</f>
        <v>SEVROLL Focus wózek górny 18mm 2szt</v>
      </c>
      <c r="D27" s="15">
        <f>IF((D41+D40)&gt;D4,0,D4-(D40+D41))</f>
        <v>0</v>
      </c>
      <c r="E27" s="193">
        <f>+VLOOKUP(B27,cennik!A:G,3,FALSE)</f>
        <v>13.907170000000001</v>
      </c>
      <c r="F27" s="86">
        <f t="shared" si="0"/>
        <v>0</v>
      </c>
      <c r="G27" s="87">
        <f>+F27*(100-G22)/100</f>
        <v>0</v>
      </c>
      <c r="H27" s="5" t="str">
        <f>cennik!B2</f>
        <v>zł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dolne wózki</v>
      </c>
      <c r="B28" s="170">
        <f>IF(F4=M63,362316,229440)</f>
        <v>229440</v>
      </c>
      <c r="C28" s="475" t="str">
        <f>+VLOOKUP(B28,cennik!A:G,2,FALSE)</f>
        <v>SEVROLL wózek dolny WD 18C HI-TEC - 2szt</v>
      </c>
      <c r="D28" s="15">
        <f>+D4</f>
        <v>0</v>
      </c>
      <c r="E28" s="193">
        <f>+VLOOKUP(B28,cennik!A:G,3,FALSE)</f>
        <v>17.546399999999998</v>
      </c>
      <c r="F28" s="86">
        <f t="shared" si="0"/>
        <v>0</v>
      </c>
      <c r="G28" s="87">
        <f>+F28*(100-G22)/100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szczotka odbojowa</v>
      </c>
      <c r="B29" s="170">
        <v>89131</v>
      </c>
      <c r="C29" s="475" t="str">
        <f>+VLOOKUP(B29,cennik!A:G,2,FALSE)</f>
        <v>SEVROLL szczotka odbojowa z klejem 6,7x4 mm, szara</v>
      </c>
      <c r="D29" s="15">
        <f>CEILING((B4*D4*2/1000),1)</f>
        <v>0</v>
      </c>
      <c r="E29" s="193">
        <f>+VLOOKUP(B29,cennik!A:G,3,FALSE)</f>
        <v>1.0506</v>
      </c>
      <c r="F29" s="86">
        <f t="shared" si="0"/>
        <v>0</v>
      </c>
      <c r="G29" s="87">
        <f>+F29*(100-G22)/100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rączka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Akcesoria:</v>
      </c>
      <c r="B32" s="170"/>
      <c r="C32" s="23"/>
      <c r="D32" s="371" t="str">
        <f>+Faworyt!D34</f>
        <v>podaj ilość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pozycjoner wózka górnego</v>
      </c>
      <c r="B33" s="170">
        <v>298035</v>
      </c>
      <c r="C33" s="475" t="str">
        <f>+VLOOKUP(B33,cennik!A:G,2,FALSE)</f>
        <v>SEVROLL Fix pozycjoner wózka górnego transparentny</v>
      </c>
      <c r="D33" s="27"/>
      <c r="E33" s="193">
        <f>+VLOOKUP(B33,cennik!A:G,3,FALSE)</f>
        <v>3.74519</v>
      </c>
      <c r="F33" s="99">
        <f>+E33*D33</f>
        <v>0</v>
      </c>
      <c r="G33" s="98">
        <f>+F33*(100-F22)/100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>pozycjoner</v>
      </c>
      <c r="B34" s="170">
        <f>IF(F4="Gemini",387424,89063)</f>
        <v>89063</v>
      </c>
      <c r="C34" s="475" t="str">
        <f>+VLOOKUP(B34,cennik!A:G,2,FALSE)</f>
        <v>SEVROLL pozycjoner wózka dolnego HI-TEC</v>
      </c>
      <c r="D34" s="27"/>
      <c r="E34" s="193">
        <f>+VLOOKUP(B34,cennik!A:G,3,FALSE)</f>
        <v>1.071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 Tłumienie MINI do 25 kg (para)</v>
      </c>
      <c r="B35" s="170">
        <v>318662</v>
      </c>
      <c r="C35" s="23" t="str">
        <f>+VLOOKUP(B35,cennik!A:G,2,FALSE)</f>
        <v>SEVROLL tłumienie Mini SV25 (14-25kg)</v>
      </c>
      <c r="D35" s="278"/>
      <c r="E35" s="86">
        <f>+VLOOKUP(B35,cennik!A:G,3,FALSE)</f>
        <v>96.889799999999994</v>
      </c>
      <c r="F35" s="91">
        <f>+CEILING(D35,1)*E35</f>
        <v>0</v>
      </c>
      <c r="G35" s="98">
        <f>+F35*(100-F22)/100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 Tłumienie MINI do 40 kg (para)</v>
      </c>
      <c r="B36" s="66">
        <v>283956</v>
      </c>
      <c r="C36" s="23" t="str">
        <f>+VLOOKUP(B36,cennik!A:G,2,FALSE)</f>
        <v>SEVROLL tłumienie Mini SV40 (25 - 40kg)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+F36*(100-F22)/100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 Tłumienie MINI do 60 kg (para)</v>
      </c>
      <c r="B37" s="66">
        <v>351743</v>
      </c>
      <c r="C37" s="23" t="str">
        <f>+VLOOKUP(B37,cennik!A:G,2,FALSE)</f>
        <v>SEVROLL tłumienie Mini SV60 (40 - 60kg)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+F37*(100-F22)/100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 xml:space="preserve"> Tłumienie do skrzydła środkowego do 25 kg </v>
      </c>
      <c r="B38" s="66">
        <v>318663</v>
      </c>
      <c r="C38" s="23" t="str">
        <f>+VLOOKUP(B38,cennik!A:G,2,FALSE)</f>
        <v>SEVROLL tłumienie Central 10/18mm obustronne 25kg</v>
      </c>
      <c r="D38" s="278"/>
      <c r="E38" s="86">
        <f>+VLOOKUP(B38,cennik!A:G,3,FALSE)</f>
        <v>206.958</v>
      </c>
      <c r="F38" s="91">
        <f>+CEILING(D38,1)*E38</f>
        <v>0</v>
      </c>
      <c r="G38" s="98">
        <f>+F38*(100-F22)/100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 xml:space="preserve"> Tłumienie do skrzydła środkowego do 40 kg </v>
      </c>
      <c r="B39" s="66">
        <v>283955</v>
      </c>
      <c r="C39" s="23" t="str">
        <f>+VLOOKUP(B39,cennik!A:G,2,FALSE)</f>
        <v>SEVROLL tłumienie Central 10/18mm obustronne 25-40kg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+F39*(100-F22)/100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tłumienie (para)25 kg</v>
      </c>
      <c r="B40" s="66">
        <v>227185</v>
      </c>
      <c r="C40" s="475" t="str">
        <f>+VLOOKUP(B40,cennik!A:G,2,FALSE)</f>
        <v>K-SEVROLL tłumienie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tłumienie (para) 50 kg</v>
      </c>
      <c r="B41" s="66">
        <v>227187</v>
      </c>
      <c r="C41" s="475" t="str">
        <f>+VLOOKUP(B41,cennik!A:G,2,FALSE)</f>
        <v>K-SEVROLL tłumienie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Klamra szczotki odbojowej</v>
      </c>
      <c r="B42" s="170">
        <v>223569</v>
      </c>
      <c r="C42" s="475" t="str">
        <f>+VLOOKUP(B42,cennik!A:G,2,FALSE)</f>
        <v>SEVROLL klips do szczotki przeciwkurzowej</v>
      </c>
      <c r="D42" s="27"/>
      <c r="E42" s="193">
        <f>+VLOOKUP(B42,cennik!A:G,3,FALSE)</f>
        <v>0.23857999999999999</v>
      </c>
      <c r="F42" s="99">
        <f t="shared" si="1"/>
        <v>0</v>
      </c>
      <c r="G42" s="98">
        <f>+F42*(100-F22)/100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profil łączący H18-3metry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Teownik -3metry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Teownik decor -3metry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na DTD 18mm- 3 metry /gładki/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na DTD 18mm- 3 metry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kątownik mini 11x17mm - 1,7m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kątownik mini 11x17mm - 2,35m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kątownik mini 11x17mm - 3,00m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kątownik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kątownik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kątownik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zamek do drzwi przesuwnych</v>
      </c>
      <c r="B54" s="66">
        <v>216363</v>
      </c>
      <c r="C54" s="475" t="str">
        <f>+VLOOKUP(B54,cennik!A:G,2,FALSE)</f>
        <v>SEVROLL zamek do drzwi przesuwnych 10/18mm</v>
      </c>
      <c r="D54" s="27"/>
      <c r="E54" s="193">
        <f>+VLOOKUP(B54,cennik!A:G,3,FALSE)</f>
        <v>66.840599999999995</v>
      </c>
      <c r="F54" s="99">
        <f t="shared" si="1"/>
        <v>0</v>
      </c>
      <c r="G54" s="98">
        <f>+F54*(100-F22)/100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szczotka przeciwkurzowa samoprzylepna</v>
      </c>
      <c r="B55" s="66">
        <v>308639</v>
      </c>
      <c r="C55" s="23" t="str">
        <f>+VLOOKUP(B55,cennik!A:G,2,FALSE)</f>
        <v>SEVROLL szczotka przeciwkurzowa z klejem 6,7x13mm szara</v>
      </c>
      <c r="D55" s="27"/>
      <c r="E55" s="193">
        <f>+VLOOKUP(B55,cennik!A:G,3,FALSE)</f>
        <v>1.2647999999999999</v>
      </c>
      <c r="F55" s="99">
        <f t="shared" si="1"/>
        <v>0</v>
      </c>
      <c r="G55" s="98">
        <f>+F55*(100-F22)/100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 xml:space="preserve">tutaj można znaleźć inne akcesoria 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rysunek techniczny tego systemu</v>
      </c>
      <c r="C58" s="36"/>
      <c r="D58" s="73" t="str">
        <f>+Faworyt!D61</f>
        <v>w sumie (bez VAT)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zł</v>
      </c>
      <c r="I58" s="4"/>
      <c r="L58" s="5"/>
    </row>
    <row r="59" spans="1:14" ht="12.75" customHeight="1" x14ac:dyDescent="0.25">
      <c r="A59" s="70" t="str">
        <f>System10!A67</f>
        <v>Uwagi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5"/>
      <c r="C60" s="695"/>
      <c r="D60" s="695"/>
      <c r="E60" s="695"/>
      <c r="F60" s="695"/>
      <c r="G60" s="695"/>
      <c r="H60" s="695"/>
      <c r="L60" s="5"/>
    </row>
    <row r="61" spans="1:14" ht="12.75" customHeight="1" x14ac:dyDescent="0.25">
      <c r="A61" s="696" t="str">
        <f>IF(N61=1,texty!A215,IF(J61&gt;0,texty!A214,""))</f>
        <v>niektóre elementy nie są produkowane w wybranej długości</v>
      </c>
      <c r="B61" s="696"/>
      <c r="C61" s="696"/>
      <c r="D61" s="696"/>
      <c r="E61" s="696"/>
      <c r="F61" s="696"/>
      <c r="G61" s="696"/>
      <c r="H61" s="696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srebrny</v>
      </c>
      <c r="M63" s="19" t="s">
        <v>968</v>
      </c>
    </row>
    <row r="64" spans="1:14" ht="12.75" hidden="1" customHeight="1" x14ac:dyDescent="0.25">
      <c r="L64" s="4" t="str">
        <f>texty!A130</f>
        <v>j.brąz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5" t="s">
        <v>731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długość rączki (+ 2 mm 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8" t="str">
        <f>texty!A64</f>
        <v>Nie można łączyć ze szkłem / lustrem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IF(SUM(D37:D38)&gt;0,texty!A246,"")</f>
        <v/>
      </c>
      <c r="B11" s="681"/>
      <c r="C11" s="602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62"/>
      <c r="D12" s="7"/>
      <c r="H12" s="5"/>
      <c r="L12" s="5"/>
    </row>
    <row r="13" spans="1:16" ht="21.75" customHeight="1" x14ac:dyDescent="0.25">
      <c r="A13" s="681"/>
      <c r="B13" s="681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5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85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partnerska zniżka:</v>
      </c>
      <c r="H20" s="5"/>
      <c r="L20" s="5"/>
    </row>
    <row r="21" spans="1:12" ht="12.75" customHeight="1" x14ac:dyDescent="0.25">
      <c r="A21" s="123" t="str">
        <f>texty!A80</f>
        <v>Kody zamówieniowe, ceny: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kod</v>
      </c>
      <c r="C22" s="76" t="str">
        <f>+Faworyt!C25</f>
        <v>nazwa</v>
      </c>
      <c r="D22" s="76" t="str">
        <f>+Faworyt!D25</f>
        <v>szt.</v>
      </c>
      <c r="E22" s="76" t="str">
        <f>+Faworyt!E25</f>
        <v>cena/szt.</v>
      </c>
      <c r="F22" s="16" t="str">
        <f>+Faworyt!F25</f>
        <v>cena w sumie</v>
      </c>
      <c r="G22" s="16" t="str">
        <f>+Faworyt!G25</f>
        <v>w sumie netto:</v>
      </c>
      <c r="H22" s="16"/>
      <c r="I22" s="16" t="str">
        <f>texty!A29</f>
        <v>Uwagi:</v>
      </c>
      <c r="J22" s="16"/>
      <c r="L22" s="16"/>
    </row>
    <row r="23" spans="1:12" ht="12.75" customHeight="1" x14ac:dyDescent="0.25">
      <c r="A23" s="6" t="str">
        <f>+Faworyt!A26</f>
        <v>tor górny: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zł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Tor dolny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zł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profil maskujący (maskownica):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górne wózki</v>
      </c>
      <c r="B26" s="66">
        <v>228023</v>
      </c>
      <c r="C26" s="475" t="str">
        <f>+VLOOKUP(B26,cennik!A:G,2,FALSE)</f>
        <v>SEVROLL Focus wózek górny 18mm 2szt</v>
      </c>
      <c r="D26" s="15">
        <f>IF((D40+D39)&gt;D4,0,D4-(D39+D40))</f>
        <v>0</v>
      </c>
      <c r="E26" s="193">
        <f>+VLOOKUP(B26,cennik!A:G,3,FALSE)</f>
        <v>13.907170000000001</v>
      </c>
      <c r="F26" s="86">
        <f t="shared" si="0"/>
        <v>0</v>
      </c>
      <c r="G26" s="87">
        <f>+F26*(100-G21)/100</f>
        <v>0</v>
      </c>
      <c r="H26" s="5" t="str">
        <f>cennik!B2</f>
        <v>zł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dolne wózki</v>
      </c>
      <c r="B27" s="170">
        <f>IF(F4=M62,362316,229440)</f>
        <v>229440</v>
      </c>
      <c r="C27" s="475" t="str">
        <f>+VLOOKUP(B27,cennik!A:G,2,FALSE)</f>
        <v>SEVROLL wózek dolny WD 18C HI-TEC - 2szt</v>
      </c>
      <c r="D27" s="15">
        <f>+D4</f>
        <v>0</v>
      </c>
      <c r="E27" s="193">
        <f>+VLOOKUP(B27,cennik!A:G,3,FALSE)</f>
        <v>17.546399999999998</v>
      </c>
      <c r="F27" s="86">
        <f t="shared" si="0"/>
        <v>0</v>
      </c>
      <c r="G27" s="87">
        <f>+F27*(100-G21)/100</f>
        <v>0</v>
      </c>
      <c r="H27" s="5" t="str">
        <f>cennik!B2</f>
        <v>zł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szczotka odbojowa</v>
      </c>
      <c r="B28" s="170">
        <v>229433</v>
      </c>
      <c r="C28" s="475" t="str">
        <f>+VLOOKUP(B28,cennik!A:G,2,FALSE)</f>
        <v>SEVROLL szczotka odbojowa bez kleju 4,8x4mm</v>
      </c>
      <c r="D28" s="15">
        <f>CEILING((B4*D4*2/1000),1)</f>
        <v>0</v>
      </c>
      <c r="E28" s="193">
        <f>+VLOOKUP(B28,cennik!A:G,3,FALSE)</f>
        <v>0.35</v>
      </c>
      <c r="F28" s="86">
        <f t="shared" si="0"/>
        <v>0</v>
      </c>
      <c r="G28" s="87">
        <f>+F28*(100-G21)/100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rączka</v>
      </c>
      <c r="B29" s="170">
        <v>233428</v>
      </c>
      <c r="C29" s="475" t="str">
        <f>+VLOOKUP(B29,cennik!A:G,2,FALSE)</f>
        <v>Sevroll Fiona II rączka 2,7m srebrna</v>
      </c>
      <c r="D29" s="15">
        <f>IF(B9&lt;=1285,D4*2/2,D4*2)</f>
        <v>0</v>
      </c>
      <c r="E29" s="193" t="e">
        <f>+VLOOKUP(B29,cennik!A:G,3,FALSE)</f>
        <v>#N/A</v>
      </c>
      <c r="F29" s="86" t="e">
        <f t="shared" si="0"/>
        <v>#N/A</v>
      </c>
      <c r="G29" s="87" t="e">
        <f>+F29*(100-G21)/100</f>
        <v>#N/A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Akcesoria:</v>
      </c>
      <c r="B31" s="170"/>
      <c r="C31" s="23"/>
      <c r="D31" s="371" t="str">
        <f>+Faworyt!D34</f>
        <v>podaj ilość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pozycjoner wózka górnego</v>
      </c>
      <c r="B32" s="170">
        <v>298035</v>
      </c>
      <c r="C32" s="475" t="str">
        <f>+VLOOKUP(B32,cennik!A:G,2,FALSE)</f>
        <v>SEVROLL Fix pozycjoner wózka górnego transparentny</v>
      </c>
      <c r="D32" s="27"/>
      <c r="E32" s="193">
        <f>+VLOOKUP(B32,cennik!A:G,3,FALSE)</f>
        <v>3.74519</v>
      </c>
      <c r="F32" s="99">
        <f>+E32*D32</f>
        <v>0</v>
      </c>
      <c r="G32" s="98">
        <f>+F32*(100-F21)/100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>pozycjoner</v>
      </c>
      <c r="B33" s="170">
        <f>IF(F4="Gemini",387424,89063)</f>
        <v>89063</v>
      </c>
      <c r="C33" s="475" t="str">
        <f>+VLOOKUP(B33,cennik!A:G,2,FALSE)</f>
        <v>SEVROLL pozycjoner wózka dolnego HI-TEC</v>
      </c>
      <c r="D33" s="27"/>
      <c r="E33" s="193">
        <f>+VLOOKUP(B33,cennik!A:G,3,FALSE)</f>
        <v>1.071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 Tłumienie MINI do 25 kg (para)</v>
      </c>
      <c r="B34" s="170">
        <v>318662</v>
      </c>
      <c r="C34" s="23" t="str">
        <f>+VLOOKUP(B34,cennik!A:G,2,FALSE)</f>
        <v>SEVROLL tłumienie Mini SV25 (14-25kg)</v>
      </c>
      <c r="D34" s="278"/>
      <c r="E34" s="86">
        <f>+VLOOKUP(B34,cennik!A:G,3,FALSE)</f>
        <v>96.889799999999994</v>
      </c>
      <c r="F34" s="91">
        <f>+CEILING(D34,1)*E34</f>
        <v>0</v>
      </c>
      <c r="G34" s="98">
        <f>+F34*(100-F21)/100</f>
        <v>0</v>
      </c>
      <c r="H34" s="22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 Tłumienie MINI do 40 kg (para)</v>
      </c>
      <c r="B35" s="66">
        <v>283956</v>
      </c>
      <c r="C35" s="23" t="str">
        <f>+VLOOKUP(B35,cennik!A:G,2,FALSE)</f>
        <v>SEVROLL tłumienie Mini SV40 (25 - 40kg)</v>
      </c>
      <c r="D35" s="278"/>
      <c r="E35" s="86">
        <f>+VLOOKUP(B35,cennik!A:G,3,FALSE)</f>
        <v>96.889799999999994</v>
      </c>
      <c r="F35" s="91">
        <f>+CEILING(D35,1)*E35</f>
        <v>0</v>
      </c>
      <c r="G35" s="98">
        <f>+F35*(100-F21)/100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 Tłumienie MINI do 60 kg (para)</v>
      </c>
      <c r="B36" s="66">
        <v>351743</v>
      </c>
      <c r="C36" s="23" t="str">
        <f>+VLOOKUP(B36,cennik!A:G,2,FALSE)</f>
        <v>SEVROLL tłumienie Mini SV60 (40 - 60kg)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+F36*(100-F21)/100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 xml:space="preserve"> Tłumienie do skrzydła środkowego do 25 kg </v>
      </c>
      <c r="B37" s="66">
        <v>318663</v>
      </c>
      <c r="C37" s="23" t="str">
        <f>+VLOOKUP(B37,cennik!A:G,2,FALSE)</f>
        <v>SEVROLL tłumienie Central 10/18mm obustronne 25kg</v>
      </c>
      <c r="D37" s="278"/>
      <c r="E37" s="86">
        <f>+VLOOKUP(B37,cennik!A:G,3,FALSE)</f>
        <v>206.958</v>
      </c>
      <c r="F37" s="91">
        <f>+CEILING(D37,1)*E37</f>
        <v>0</v>
      </c>
      <c r="G37" s="98">
        <f>+F37*(100-F21)/100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 xml:space="preserve"> Tłumienie do skrzydła środkowego do 40 kg </v>
      </c>
      <c r="B38" s="66">
        <v>283955</v>
      </c>
      <c r="C38" s="23" t="str">
        <f>+VLOOKUP(B38,cennik!A:G,2,FALSE)</f>
        <v>SEVROLL tłumienie Central 10/18mm obustronne 25-40kg</v>
      </c>
      <c r="D38" s="278"/>
      <c r="E38" s="86">
        <f>+VLOOKUP(B38,cennik!A:G,3,FALSE)</f>
        <v>206.958</v>
      </c>
      <c r="F38" s="91">
        <f>+CEILING(D38,1)*E38</f>
        <v>0</v>
      </c>
      <c r="G38" s="98">
        <f>+F38*(100-F21)/100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tłumienie (para)25 kg</v>
      </c>
      <c r="B39" s="66">
        <v>227185</v>
      </c>
      <c r="C39" s="475" t="str">
        <f>+VLOOKUP(B39,cennik!A:G,2,FALSE)</f>
        <v>K-SEVROLL tłumienie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tłumienie (para) 50 kg</v>
      </c>
      <c r="B40" s="66">
        <v>227187</v>
      </c>
      <c r="C40" s="475" t="str">
        <f>+VLOOKUP(B40,cennik!A:G,2,FALSE)</f>
        <v>K-SEVROLL tłumienie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Klamra szczotki odbojowej</v>
      </c>
      <c r="B41" s="170">
        <v>223569</v>
      </c>
      <c r="C41" s="475" t="str">
        <f>+VLOOKUP(B41,cennik!A:G,2,FALSE)</f>
        <v>SEVROLL klips do szczotki przeciwkurzowej</v>
      </c>
      <c r="D41" s="27"/>
      <c r="E41" s="193">
        <f>+VLOOKUP(B41,cennik!A:G,3,FALSE)</f>
        <v>0.23857999999999999</v>
      </c>
      <c r="F41" s="99">
        <f t="shared" si="1"/>
        <v>0</v>
      </c>
      <c r="G41" s="98">
        <f>+F41*(100-F21)/100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profil łączący H18-3metry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Teownik -3metry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Teownik decor -3metry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na DTD 18mm- 3 metry /gładki/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na DTD 18mm- 3 metry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kątownik mini 11x17mm - 1,7m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kątownik mini 11x17mm - 2,35m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kątownik mini 11x17mm - 3,00m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kątownik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kątownik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kątownik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zamek do drzwi przesuwnych</v>
      </c>
      <c r="B53" s="66">
        <v>216363</v>
      </c>
      <c r="C53" s="475" t="str">
        <f>+VLOOKUP(B53,cennik!A:G,2,FALSE)</f>
        <v>SEVROLL zamek do drzwi przesuwnych 10/18mm</v>
      </c>
      <c r="D53" s="27"/>
      <c r="E53" s="193">
        <f>+VLOOKUP(B53,cennik!A:G,3,FALSE)</f>
        <v>66.840599999999995</v>
      </c>
      <c r="F53" s="99">
        <f t="shared" si="1"/>
        <v>0</v>
      </c>
      <c r="G53" s="98">
        <f>+F53*(100-F21)/100</f>
        <v>0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szczotka przeciwkurzowa samoprzylepna</v>
      </c>
      <c r="B54" s="66">
        <v>308639</v>
      </c>
      <c r="C54" s="23" t="str">
        <f>+VLOOKUP(B54,cennik!A:G,2,FALSE)</f>
        <v>SEVROLL szczotka przeciwkurzowa z klejem 6,7x13mm szara</v>
      </c>
      <c r="D54" s="27"/>
      <c r="E54" s="193">
        <f>+VLOOKUP(B54,cennik!A:G,3,FALSE)</f>
        <v>1.2647999999999999</v>
      </c>
      <c r="F54" s="99">
        <f t="shared" si="1"/>
        <v>0</v>
      </c>
      <c r="G54" s="98">
        <f>+F54*(100-F21)/100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 xml:space="preserve">tutaj można znaleźć inne akcesoria 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rysunek techniczny tego systemu</v>
      </c>
      <c r="C57" s="36"/>
      <c r="D57" s="73" t="str">
        <f>+Faworyt!D61</f>
        <v>w sumie (bez VAT)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zł</v>
      </c>
      <c r="L57" s="5"/>
    </row>
    <row r="58" spans="1:14" ht="12.75" customHeight="1" x14ac:dyDescent="0.25">
      <c r="A58" s="70" t="str">
        <f>System10!A67</f>
        <v>Uwagi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5"/>
      <c r="C59" s="695"/>
      <c r="D59" s="695"/>
      <c r="E59" s="695"/>
      <c r="F59" s="695"/>
      <c r="G59" s="695"/>
      <c r="H59" s="695"/>
      <c r="L59" s="5"/>
    </row>
    <row r="60" spans="1:14" ht="12.75" customHeight="1" x14ac:dyDescent="0.25">
      <c r="A60" s="696" t="str">
        <f>IF(N60=1,texty!A215,IF(J60&gt;0,texty!A214,""))</f>
        <v>niektóre elementy nie są produkowane w wybranej długości</v>
      </c>
      <c r="B60" s="696"/>
      <c r="C60" s="696"/>
      <c r="D60" s="696"/>
      <c r="E60" s="696"/>
      <c r="F60" s="696"/>
      <c r="G60" s="696"/>
      <c r="H60" s="696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srebrny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5" t="s">
        <v>79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Katalog Okuć meblowych 2024 str. 7.41</v>
      </c>
      <c r="B3" s="318" t="str">
        <f>CONCATENATE(texty!A34," / max.        2 742 mm /")</f>
        <v>wysokość / max.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skrzydło drzwi: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Maksymalny wymiar skrzydła w lustrze 2400x700mm</v>
      </c>
      <c r="C12" s="80"/>
      <c r="D12" s="7"/>
      <c r="H12" s="5"/>
      <c r="L12" s="5"/>
    </row>
    <row r="13" spans="1:16" ht="26.4" x14ac:dyDescent="0.25">
      <c r="A13" s="681" t="str">
        <f>IF(SUM(D39:D40)&gt;0,texty!A246,"")</f>
        <v/>
      </c>
      <c r="B13" s="681"/>
      <c r="C13" s="605" t="str">
        <f>texty!A78</f>
        <v>dodatkowe zmniejszenie wysokośći wyliczonych wypełnień przy wykorzystaniu profili dzielących:</v>
      </c>
      <c r="D13" s="7"/>
      <c r="G13" s="5"/>
      <c r="L13" s="31"/>
    </row>
    <row r="14" spans="1:16" ht="32.25" customHeight="1" x14ac:dyDescent="0.25">
      <c r="A14" s="681"/>
      <c r="B14" s="681"/>
      <c r="C14" s="392"/>
      <c r="D14" s="7"/>
      <c r="G14" s="5"/>
      <c r="L14" s="31"/>
    </row>
    <row r="15" spans="1:16" ht="13.2" x14ac:dyDescent="0.25">
      <c r="A15" s="6"/>
      <c r="B15" s="54"/>
      <c r="C15" s="392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partnerska zniżka:</v>
      </c>
      <c r="H22" s="5"/>
      <c r="L22" s="5"/>
    </row>
    <row r="23" spans="1:12" ht="12.75" customHeight="1" x14ac:dyDescent="0.25">
      <c r="A23" s="12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kod</v>
      </c>
      <c r="C24" s="76" t="str">
        <f>+System10!C27</f>
        <v>nazwa</v>
      </c>
      <c r="D24" s="76" t="str">
        <f>+System10!D27</f>
        <v>szt.</v>
      </c>
      <c r="E24" s="76" t="str">
        <f>+System10!E27</f>
        <v>cena/szt.</v>
      </c>
      <c r="F24" s="16" t="str">
        <f>+System10!F27</f>
        <v>cena w sumie</v>
      </c>
      <c r="G24" s="16" t="str">
        <f>+System10!G27</f>
        <v>w sumie netto:</v>
      </c>
      <c r="H24" s="16"/>
      <c r="I24" s="16" t="str">
        <f>texty!A29</f>
        <v>Uwagi:</v>
      </c>
      <c r="J24" s="16"/>
      <c r="L24" s="16"/>
    </row>
    <row r="25" spans="1:12" ht="12.75" customHeight="1" x14ac:dyDescent="0.25">
      <c r="A25" s="6" t="str">
        <f>+Faworyt!A26</f>
        <v>tor górny: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Tor dolny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profil maskujący (maskownica):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66">
        <v>228023</v>
      </c>
      <c r="C28" s="465" t="str">
        <f>+VLOOKUP(B28,cennik!A:G,2,FALSE)</f>
        <v>SEVROLL Focus wózek górny 18mm 2szt</v>
      </c>
      <c r="D28" s="15">
        <f>IF((D42+D41)&gt;D4,0,D4-(D41+D42))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70">
        <f>IF(F4=M62,362316,229440)</f>
        <v>229440</v>
      </c>
      <c r="C29" s="465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szczotka odbojowa</v>
      </c>
      <c r="B30" s="170">
        <v>229433</v>
      </c>
      <c r="C30" s="46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Akcesoria:</v>
      </c>
      <c r="B33" s="114"/>
      <c r="C33" s="483"/>
      <c r="D33" s="370" t="str">
        <f>Faworyt!D34</f>
        <v>podaj ilość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pozycjoner wózka górnego</v>
      </c>
      <c r="B34" s="170">
        <v>298035</v>
      </c>
      <c r="C34" s="465" t="str">
        <f>+VLOOKUP(B34,cennik!A:G,2,FALSE)</f>
        <v>SEVROLL Fix pozycjoner wózka górnego transparentny</v>
      </c>
      <c r="D34" s="27"/>
      <c r="E34" s="193">
        <f>+VLOOKUP(B34,cennik!A:G,3,FALSE)</f>
        <v>3.74519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>pozycjoner</v>
      </c>
      <c r="B35" s="170">
        <f>IF(F4="Gemini",387424,89063)</f>
        <v>89063</v>
      </c>
      <c r="C35" s="46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 Tłumienie MINI do 25 kg (para)</v>
      </c>
      <c r="B36" s="170">
        <v>318662</v>
      </c>
      <c r="C36" s="467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 Tłumienie MINI do 40 kg (para)</v>
      </c>
      <c r="B37" s="66">
        <v>283956</v>
      </c>
      <c r="C37" s="467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 Tłumienie MINI do 60 kg (para)</v>
      </c>
      <c r="B38" s="66">
        <v>351743</v>
      </c>
      <c r="C38" s="467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 xml:space="preserve"> Tłumienie do skrzydła środkowego do 25 kg </v>
      </c>
      <c r="B39" s="66">
        <v>318663</v>
      </c>
      <c r="C39" s="467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 xml:space="preserve"> Tłumienie do skrzydła środkowego do 40 kg </v>
      </c>
      <c r="B40" s="66">
        <v>283955</v>
      </c>
      <c r="C40" s="467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tłumienie (para)25 kg</v>
      </c>
      <c r="B41" s="66">
        <v>227185</v>
      </c>
      <c r="C41" s="465" t="str">
        <f>+VLOOKUP(B41,cennik!A:G,2,FALSE)</f>
        <v>K-SEVROLL tłumienie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tłumienie (para) 50 kg</v>
      </c>
      <c r="B42" s="66">
        <v>227187</v>
      </c>
      <c r="C42" s="465" t="str">
        <f>+VLOOKUP(B42,cennik!A:G,2,FALSE)</f>
        <v>K-SEVROLL tłumienie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Klamra szczotki odbojowej</v>
      </c>
      <c r="B43" s="170">
        <v>223569</v>
      </c>
      <c r="C43" s="46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profil łączący H18-3metry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Teownik -3metry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Teownik decor -3metry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na DTD 18mm- 3 metry /gładki/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na DTD 18mm- 3 metry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kątownik mini 11x17mm - 1,7m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kątownik mini 11x17mm - 2,35m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kątownik mini 11x17mm - 3,00m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kątownik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kątownik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kątownik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zacisk do dylatacji wypełnienia 16 mm</v>
      </c>
      <c r="B55" s="170">
        <v>308631</v>
      </c>
      <c r="C55" s="46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zamek do drzwi przesuwnych</v>
      </c>
      <c r="B56" s="66">
        <v>216363</v>
      </c>
      <c r="C56" s="46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szczotka przeciwkurzowa samoprzylepna</v>
      </c>
      <c r="B57" s="66">
        <v>308639</v>
      </c>
      <c r="C57" s="467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+F57*(100-G23)/100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rysunek techniczny tego systemu</v>
      </c>
      <c r="B60" s="15"/>
      <c r="C60" s="23"/>
      <c r="D60" s="71" t="str">
        <f>Faworyt!D61</f>
        <v>w sumie (bez VAT)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zł</v>
      </c>
      <c r="L60" s="5"/>
    </row>
    <row r="61" spans="1:14" ht="12.75" customHeight="1" x14ac:dyDescent="0.25">
      <c r="A61" s="70" t="str">
        <f>System10!A67</f>
        <v>Uwagi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5"/>
      <c r="C62" s="695"/>
      <c r="D62" s="695"/>
      <c r="E62" s="695"/>
      <c r="F62" s="695"/>
      <c r="G62" s="695"/>
      <c r="H62" s="695"/>
      <c r="L62" s="5" t="str">
        <f>texty!A128</f>
        <v>srebrny</v>
      </c>
      <c r="M62" s="19" t="s">
        <v>968</v>
      </c>
    </row>
    <row r="63" spans="1:14" ht="12.75" customHeight="1" x14ac:dyDescent="0.25">
      <c r="A63" s="696" t="str">
        <f>IF(N63=1,texty!A215,IF(J63&gt;0,texty!A214,""))</f>
        <v>niektóre elementy nie są produkowane w wybranej długości</v>
      </c>
      <c r="B63" s="696"/>
      <c r="C63" s="696"/>
      <c r="D63" s="696"/>
      <c r="E63" s="696"/>
      <c r="F63" s="696"/>
      <c r="G63" s="696"/>
      <c r="H63" s="696"/>
      <c r="J63" s="5" t="e">
        <f>SUM(J25:J57)</f>
        <v>#N/A</v>
      </c>
      <c r="L63" s="5" t="str">
        <f>texty!A130</f>
        <v>j.brąz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5" t="s">
        <v>853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2" t="str">
        <f>CONCATENATE(texty!A243," ",7,".",54)</f>
        <v>Katalog Okuć meblowych 2024 str. 7.54</v>
      </c>
      <c r="B3" s="318" t="str">
        <f>CONCATENATE(texty!A34," / max.        2 742 mm /")</f>
        <v>wysokość / max.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"/>
      <c r="G4" s="693"/>
      <c r="H4" s="693"/>
      <c r="I4" s="693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wypełnij 4 pola !!!! Informacje w mm</v>
      </c>
      <c r="C5" s="713"/>
      <c r="D5" s="713"/>
      <c r="E5" s="713"/>
      <c r="F5" s="366"/>
      <c r="G5" s="693"/>
      <c r="H5" s="693"/>
      <c r="I5" s="693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/>
      <c r="R6" s="682"/>
      <c r="S6" s="682"/>
      <c r="T6" s="682"/>
      <c r="U6" s="682"/>
    </row>
    <row r="7" spans="1:21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texty!A72</f>
        <v>rozmiar wypełnienia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Maksymalna waga skrzydła to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Tor górny / dolny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rączka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Nie można łączyć ze szkłem / lustrem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1" t="str">
        <f>IF(SUM(D39:D40)&gt;0,texty!A246,"")</f>
        <v/>
      </c>
      <c r="B12" s="681"/>
      <c r="C12" s="606" t="str">
        <f>texty!A78</f>
        <v>dodatkowe zmniejszenie wysokośći wyliczonych wypełnień przy wykorzystaniu profili dzielących: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1"/>
      <c r="B13" s="681"/>
      <c r="C13" s="393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partnerska zniżka:</v>
      </c>
      <c r="H22" s="5"/>
      <c r="M22" s="5"/>
      <c r="U22" s="150"/>
    </row>
    <row r="23" spans="1:22" ht="12.75" customHeight="1" x14ac:dyDescent="0.25">
      <c r="A23" s="12" t="str">
        <f>texty!A80</f>
        <v>Kody zamówieniowe,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kod</v>
      </c>
      <c r="C24" s="16" t="str">
        <f>+System10!C27</f>
        <v>nazwa</v>
      </c>
      <c r="D24" s="17" t="str">
        <f>+System10!D27</f>
        <v>szt.</v>
      </c>
      <c r="E24" s="17" t="str">
        <f>+System10!E27</f>
        <v>cena/szt.</v>
      </c>
      <c r="F24" s="17" t="str">
        <f>+System10!F27</f>
        <v>cena w sumie</v>
      </c>
      <c r="G24" s="18" t="str">
        <f>+System10!G27</f>
        <v>w sumie netto:</v>
      </c>
      <c r="H24" s="5"/>
      <c r="I24" s="16" t="str">
        <f>texty!A29</f>
        <v>Uwagi: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Tor górny: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Tor dolny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profil maskujący (maskownica):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górne wózki</v>
      </c>
      <c r="B28" s="66">
        <v>98092</v>
      </c>
      <c r="C28" s="23" t="str">
        <f>+VLOOKUP(B28,cennik!A:G,2,FALSE)</f>
        <v>SEVROLL Comfort wózek górny 18mm - 2szt</v>
      </c>
      <c r="D28" s="15">
        <f>IF((D41+D42)&gt;D4,0,D4-(D42+D41))</f>
        <v>0</v>
      </c>
      <c r="E28" s="86">
        <f>+VLOOKUP(B28,cennik!A:G,3,FALSE)</f>
        <v>25.245000000000001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dolne wózki</v>
      </c>
      <c r="B29" s="66">
        <v>362316</v>
      </c>
      <c r="C29" s="23" t="str">
        <f>+VLOOKUP(B29,cennik!A:G,2,FALSE)</f>
        <v>SEVROLL 2x wózek dolny do płyty laminowanej 18mm bez pozycjonera bez sprężyny</v>
      </c>
      <c r="D29" s="15">
        <f>+D4</f>
        <v>0</v>
      </c>
      <c r="E29" s="86">
        <f>+VLOOKUP(B29,cennik!A:G,3,FALSE)</f>
        <v>18.35596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szczotka odbojowa</v>
      </c>
      <c r="B30" s="66">
        <v>229433</v>
      </c>
      <c r="C30" s="23" t="str">
        <f>+VLOOKUP(B30,cennik!A:G,2,FALSE)</f>
        <v>SEVROLL szczotka odbojowa bez kleju 4,8x4mm</v>
      </c>
      <c r="D30" s="15">
        <f>CEILING((B4*D4*2/1000),1)</f>
        <v>0</v>
      </c>
      <c r="E30" s="86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rączka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Akcesoria:</v>
      </c>
      <c r="B33" s="113"/>
      <c r="C33" s="116"/>
      <c r="D33" s="370" t="str">
        <f>+Faworyt!D34</f>
        <v>podaj ilość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pozycjoner wózka górnego</v>
      </c>
      <c r="B34" s="66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3.74519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pozycjoner</v>
      </c>
      <c r="B35" s="66"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Tłumienie MINI do 25 kg (para)</v>
      </c>
      <c r="B36" s="66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Klamra szczotki odbojowej</v>
      </c>
      <c r="B43" s="66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profil łączący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Teownik -3metry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Teownik decor -3metry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kątownik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kątownik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kątownik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zamek do drzwi przesuwnych</v>
      </c>
      <c r="B55" s="66">
        <v>216363</v>
      </c>
      <c r="C55" s="475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+F55*(100-F23)/100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rysunek techniczny tego systemu</v>
      </c>
      <c r="B59" s="7"/>
      <c r="C59" s="7"/>
      <c r="D59" s="71" t="str">
        <f>texty!A15</f>
        <v>w sumie (bez VAT)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zł</v>
      </c>
      <c r="J59" s="166"/>
      <c r="K59" s="166"/>
      <c r="L59" s="4" t="str">
        <f>texty!A128</f>
        <v>srebrny</v>
      </c>
      <c r="M59" s="19" t="s">
        <v>971</v>
      </c>
    </row>
    <row r="60" spans="1:14" ht="12.75" customHeight="1" x14ac:dyDescent="0.25">
      <c r="A60" s="70" t="str">
        <f>System10!A67</f>
        <v>Uwagi</v>
      </c>
      <c r="B60" s="698"/>
      <c r="C60" s="699"/>
      <c r="D60" s="699"/>
      <c r="E60" s="699"/>
      <c r="F60" s="699"/>
      <c r="G60" s="700"/>
      <c r="H60" s="5"/>
      <c r="L60" s="4" t="str">
        <f>texty!A130</f>
        <v>j.brąz</v>
      </c>
      <c r="M60" s="19" t="s">
        <v>42</v>
      </c>
    </row>
    <row r="61" spans="1:14" ht="12.75" customHeight="1" x14ac:dyDescent="0.25">
      <c r="A61" s="694" t="str">
        <f>profil!U15</f>
        <v/>
      </c>
      <c r="B61" s="695"/>
      <c r="C61" s="695"/>
      <c r="D61" s="695"/>
      <c r="E61" s="695"/>
      <c r="F61" s="695"/>
      <c r="G61" s="695"/>
      <c r="H61" s="695"/>
    </row>
    <row r="62" spans="1:14" ht="12.75" customHeight="1" x14ac:dyDescent="0.25">
      <c r="A62" s="696" t="str">
        <f>IF(N62=1,texty!A215,IF(J62&gt;0,texty!A214,""))</f>
        <v>niektóre elementy nie są produkowane w wybranej długości</v>
      </c>
      <c r="B62" s="696"/>
      <c r="C62" s="696"/>
      <c r="D62" s="696"/>
      <c r="E62" s="696"/>
      <c r="F62" s="696"/>
      <c r="G62" s="696"/>
      <c r="H62" s="696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855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2" t="str">
        <f>CONCATENATE(texty!A243," ",7,".",54)</f>
        <v>Katalog Okuć meblowych 2024 str. 7.54</v>
      </c>
      <c r="B3" s="318" t="str">
        <f>CONCATENATE(texty!A34," 
/ max. 2 742 mm /")</f>
        <v>wysokość 
/ max.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8"/>
      <c r="G3" s="5"/>
      <c r="H3" s="5"/>
      <c r="L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8"/>
      <c r="G4" s="693"/>
      <c r="H4" s="693"/>
      <c r="I4" s="693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wypełnij 4 pola !!!! Informacje w mm</v>
      </c>
      <c r="C5" s="713"/>
      <c r="D5" s="713"/>
      <c r="E5" s="713"/>
      <c r="F5" s="366"/>
      <c r="G5" s="693"/>
      <c r="H5" s="693"/>
      <c r="I5" s="693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/>
      <c r="S6" s="682"/>
      <c r="T6" s="682"/>
      <c r="U6" s="682"/>
    </row>
    <row r="7" spans="1:21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rozmiar lustra / 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długość rączki (+ 2 mm 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Maksymalny wymiar skrzydła w lustrze 2400x700mm</v>
      </c>
      <c r="B12" s="715"/>
      <c r="C12" s="600" t="str">
        <f>texty!A78</f>
        <v>dodatkowe zmniejszenie wysokośći wyliczonych wypełnień przy wykorzystaniu profili dzielących:</v>
      </c>
      <c r="D12" s="7"/>
      <c r="E12" s="7"/>
      <c r="F12" s="7"/>
      <c r="G12" s="5"/>
      <c r="L12" s="5"/>
    </row>
    <row r="13" spans="1:21" ht="19.95" customHeight="1" x14ac:dyDescent="0.25">
      <c r="A13" s="681" t="str">
        <f>IF(SUM(D39:D40)&gt;0,texty!A246,"")</f>
        <v/>
      </c>
      <c r="B13" s="681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1"/>
      <c r="B14" s="681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partnerska zniżka:</v>
      </c>
      <c r="H22" s="5"/>
      <c r="M22" s="5"/>
      <c r="U22" s="150"/>
    </row>
    <row r="23" spans="1:22" ht="12.75" customHeight="1" x14ac:dyDescent="0.25">
      <c r="A23" s="12" t="str">
        <f>texty!A80</f>
        <v>Kody zamówieniowe,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kod</v>
      </c>
      <c r="C24" s="16" t="str">
        <f>+System10!C27</f>
        <v>nazwa</v>
      </c>
      <c r="D24" s="17" t="str">
        <f>+System10!D27</f>
        <v>szt.</v>
      </c>
      <c r="E24" s="17" t="str">
        <f>+System10!E27</f>
        <v>cena/szt.</v>
      </c>
      <c r="F24" s="17" t="str">
        <f>+System10!F27</f>
        <v>cena w sumie</v>
      </c>
      <c r="G24" s="18" t="str">
        <f>+System10!G27</f>
        <v>w sumie netto:</v>
      </c>
      <c r="H24" s="5"/>
      <c r="I24" s="16" t="str">
        <f>texty!A29</f>
        <v>Uwagi: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Tor górny: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Tor dolny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profil maskujący (maskownica):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górne wózki</v>
      </c>
      <c r="B28" s="66">
        <v>98092</v>
      </c>
      <c r="C28" s="23" t="str">
        <f>+VLOOKUP(B28,cennik!A:G,2,FALSE)</f>
        <v>SEVROLL Comfort wózek górny 18mm - 2szt</v>
      </c>
      <c r="D28" s="15">
        <f>IF((D42+D41)&gt;D4,0,D4-(D41+D42))</f>
        <v>0</v>
      </c>
      <c r="E28" s="86">
        <f>+VLOOKUP(B28,cennik!A:G,3,FALSE)</f>
        <v>25.245000000000001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dolne wózki</v>
      </c>
      <c r="B29" s="66">
        <v>362316</v>
      </c>
      <c r="C29" s="23" t="str">
        <f>+VLOOKUP(B29,cennik!A:G,2,FALSE)</f>
        <v>SEVROLL 2x wózek dolny do płyty laminowanej 18mm bez pozycjonera bez sprężyny</v>
      </c>
      <c r="D29" s="15">
        <f>+D4</f>
        <v>0</v>
      </c>
      <c r="E29" s="86">
        <f>+VLOOKUP(B29,cennik!A:G,3,FALSE)</f>
        <v>18.35596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szczotka odbojowa</v>
      </c>
      <c r="B30" s="66">
        <v>229433</v>
      </c>
      <c r="C30" s="23" t="str">
        <f>+VLOOKUP(B30,cennik!A:G,2,FALSE)</f>
        <v>SEVROLL szczotka odbojowa bez kleju 4,8x4mm</v>
      </c>
      <c r="D30" s="15">
        <f>CEILING((B4*D4*2/1000),1)</f>
        <v>0</v>
      </c>
      <c r="E30" s="86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rączka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Akcesoria:</v>
      </c>
      <c r="B33" s="113"/>
      <c r="C33" s="116"/>
      <c r="D33" s="371" t="str">
        <f>+Faworyt!D34</f>
        <v>podaj ilość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pozycjoner wózka górnego</v>
      </c>
      <c r="B34" s="66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3.74519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pozycjoner</v>
      </c>
      <c r="B35" s="66"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Tłumienie MINI do 25 kg (para)</v>
      </c>
      <c r="B36" s="66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Klamra szczotki odbojowej</v>
      </c>
      <c r="B43" s="66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profil łączący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Teownik -3metry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Teownik decor -3metry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kątownik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kątownik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kątownik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zacisk do dylatacji wypełnienia 16 mm</v>
      </c>
      <c r="B55" s="66">
        <v>308631</v>
      </c>
      <c r="C55" s="47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zamek do drzwi przesuwnych</v>
      </c>
      <c r="B56" s="66">
        <v>216363</v>
      </c>
      <c r="C56" s="47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szczotka przeciwkurzowa samoprzylepna</v>
      </c>
      <c r="B57" s="66">
        <v>308639</v>
      </c>
      <c r="C57" s="23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+F57*(100-F23)/100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rysunek techniczny tego systemu</v>
      </c>
      <c r="B60" s="7"/>
      <c r="C60" s="7"/>
      <c r="D60" s="71" t="str">
        <f>texty!A15</f>
        <v>w sumie (bez VAT)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zł</v>
      </c>
      <c r="I60" s="166"/>
      <c r="J60" s="166"/>
      <c r="L60" s="4" t="str">
        <f>texty!A128</f>
        <v>srebrny</v>
      </c>
    </row>
    <row r="61" spans="1:14" ht="12.75" customHeight="1" x14ac:dyDescent="0.25">
      <c r="A61" s="70" t="str">
        <f>System10!A67</f>
        <v>Uwagi</v>
      </c>
      <c r="B61" s="698"/>
      <c r="C61" s="699"/>
      <c r="D61" s="699"/>
      <c r="E61" s="699"/>
      <c r="F61" s="699"/>
      <c r="G61" s="700"/>
      <c r="H61" s="5"/>
      <c r="L61" s="4" t="str">
        <f>texty!A130</f>
        <v>j.brąz</v>
      </c>
    </row>
    <row r="62" spans="1:14" ht="12.75" customHeight="1" x14ac:dyDescent="0.25">
      <c r="A62" s="694" t="str">
        <f>profil!U15</f>
        <v/>
      </c>
      <c r="B62" s="695"/>
      <c r="C62" s="695"/>
      <c r="D62" s="695"/>
      <c r="E62" s="695"/>
      <c r="F62" s="695"/>
      <c r="G62" s="695"/>
      <c r="H62" s="695"/>
    </row>
    <row r="63" spans="1:14" ht="12.75" customHeight="1" x14ac:dyDescent="0.25">
      <c r="A63" s="696" t="str">
        <f>IF(N63=1,texty!A215,IF(J63&gt;0,texty!A214,""))</f>
        <v>niektóre elementy nie są produkowane w wybranej długości</v>
      </c>
      <c r="B63" s="696"/>
      <c r="C63" s="696"/>
      <c r="D63" s="696"/>
      <c r="E63" s="696"/>
      <c r="F63" s="696"/>
      <c r="G63" s="696"/>
      <c r="H63" s="696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854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2" t="str">
        <f>CONCATENATE(texty!A243," ",7,".",54)</f>
        <v>Katalog Okuć meblowych 2024 str. 7.54</v>
      </c>
      <c r="B3" s="318" t="str">
        <f>CONCATENATE(texty!A34," / max.        2 742 mm /")</f>
        <v>wysokość / max.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8"/>
      <c r="G3" s="5"/>
      <c r="H3" s="5"/>
      <c r="L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8"/>
      <c r="G4" s="693"/>
      <c r="H4" s="693"/>
      <c r="I4" s="693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wypełnij 4 pola !!!! Informacje w mm</v>
      </c>
      <c r="C5" s="713"/>
      <c r="D5" s="713"/>
      <c r="E5" s="713"/>
      <c r="F5" s="366"/>
      <c r="G5" s="693"/>
      <c r="H5" s="693"/>
      <c r="I5" s="693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/>
      <c r="S6" s="682"/>
      <c r="T6" s="682"/>
      <c r="U6" s="682"/>
    </row>
    <row r="7" spans="1:21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rozmiar lustra / 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5" t="str">
        <f>texty!A51</f>
        <v>długość rączki (+ 2 mm 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Maksymalny wymiar skrzydła w lustrze 2400x700mm</v>
      </c>
      <c r="B12" s="715"/>
      <c r="C12" s="600" t="str">
        <f>texty!A78</f>
        <v>dodatkowe zmniejszenie wysokośći wyliczonych wypełnień przy wykorzystaniu profili dzielących:</v>
      </c>
      <c r="D12" s="7"/>
      <c r="E12" s="7"/>
      <c r="F12" s="7"/>
      <c r="G12" s="5"/>
      <c r="L12" s="5"/>
    </row>
    <row r="13" spans="1:21" ht="19.95" customHeight="1" x14ac:dyDescent="0.25">
      <c r="A13" s="681" t="str">
        <f>IF(SUM(D39:D40)&gt;0,texty!A246,"")</f>
        <v/>
      </c>
      <c r="B13" s="681"/>
      <c r="C13" s="384"/>
      <c r="D13" s="7"/>
      <c r="E13" s="7"/>
      <c r="F13" s="7"/>
      <c r="G13" s="5"/>
      <c r="L13" s="5"/>
    </row>
    <row r="14" spans="1:21" ht="41.25" customHeight="1" x14ac:dyDescent="0.25">
      <c r="A14" s="681"/>
      <c r="B14" s="681"/>
      <c r="C14" s="384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partnerska zniżka:</v>
      </c>
      <c r="H22" s="5"/>
      <c r="M22" s="5"/>
      <c r="U22" s="150"/>
    </row>
    <row r="23" spans="1:22" ht="12.75" customHeight="1" x14ac:dyDescent="0.25">
      <c r="A23" s="12" t="str">
        <f>texty!A80</f>
        <v>Kody zamówieniowe,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kod</v>
      </c>
      <c r="C24" s="16" t="str">
        <f>+System10!C27</f>
        <v>nazwa</v>
      </c>
      <c r="D24" s="17" t="str">
        <f>+System10!D27</f>
        <v>szt.</v>
      </c>
      <c r="E24" s="17" t="str">
        <f>+System10!E27</f>
        <v>cena/szt.</v>
      </c>
      <c r="F24" s="17" t="str">
        <f>+System10!F27</f>
        <v>cena w sumie</v>
      </c>
      <c r="G24" s="18" t="str">
        <f>+System10!G27</f>
        <v>w sumie netto:</v>
      </c>
      <c r="H24" s="5"/>
      <c r="I24" s="16" t="str">
        <f>texty!A29</f>
        <v>Uwagi: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Tor górny: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Tor dolny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profil maskujący (maskownica):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górne wózki</v>
      </c>
      <c r="B28" s="66">
        <v>98092</v>
      </c>
      <c r="C28" s="23" t="str">
        <f>+VLOOKUP(B28,cennik!A:G,2,FALSE)</f>
        <v>SEVROLL Comfort wózek górny 18mm - 2szt</v>
      </c>
      <c r="D28" s="15">
        <f>IF((D42+D41)&gt;D4,0,D4-(D42+D41))</f>
        <v>0</v>
      </c>
      <c r="E28" s="86">
        <f>+VLOOKUP(B28,cennik!A:G,3,FALSE)</f>
        <v>25.245000000000001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dolne wózki</v>
      </c>
      <c r="B29" s="66">
        <v>362316</v>
      </c>
      <c r="C29" s="23" t="str">
        <f>+VLOOKUP(B29,cennik!A:G,2,FALSE)</f>
        <v>SEVROLL 2x wózek dolny do płyty laminowanej 18mm bez pozycjonera bez sprężyny</v>
      </c>
      <c r="D29" s="15">
        <f>+D4</f>
        <v>0</v>
      </c>
      <c r="E29" s="86">
        <f>+VLOOKUP(B29,cennik!A:G,3,FALSE)</f>
        <v>18.35596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szczotka odbojowa</v>
      </c>
      <c r="B30" s="66">
        <v>229433</v>
      </c>
      <c r="C30" s="23" t="str">
        <f>+VLOOKUP(B30,cennik!A:G,2,FALSE)</f>
        <v>SEVROLL szczotka odbojowa bez kleju 4,8x4mm</v>
      </c>
      <c r="D30" s="15">
        <f>CEILING((B4*D4*2/1000),1)</f>
        <v>0</v>
      </c>
      <c r="E30" s="86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rączka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Akcesoria:</v>
      </c>
      <c r="B33" s="113"/>
      <c r="C33" s="116"/>
      <c r="D33" s="371" t="str">
        <f>+Faworyt!D34</f>
        <v>podaj ilość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pozycjoner wózka górnego</v>
      </c>
      <c r="B34" s="66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3.74519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pozycjoner</v>
      </c>
      <c r="B35" s="66"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Tłumienie MINI do 25 kg (para)</v>
      </c>
      <c r="B36" s="66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Klamra szczotki odbojowej</v>
      </c>
      <c r="B43" s="66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profil łączący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Teownik -3metry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Teownik decor -3metry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kątownik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kątownik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kątownik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zacisk do dylatacji wypełnienia 16 mm</v>
      </c>
      <c r="B55" s="66">
        <v>308631</v>
      </c>
      <c r="C55" s="47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zamek do drzwi przesuwnych</v>
      </c>
      <c r="B56" s="66">
        <v>216363</v>
      </c>
      <c r="C56" s="47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szczotka przeciwkurzowa</v>
      </c>
      <c r="B57" s="66">
        <v>95946</v>
      </c>
      <c r="C57" s="23" t="str">
        <f>+VLOOKUP(B57,cennik!A:G,2,FALSE)</f>
        <v>SEVROLL szczotka przeciwkurzowa bez kleju 4,8x13 mm, szara</v>
      </c>
      <c r="D57" s="27"/>
      <c r="E57" s="193">
        <f>+VLOOKUP(B57,cennik!A:G,3,FALSE)</f>
        <v>0.80579999999999996</v>
      </c>
      <c r="F57" s="99">
        <f t="shared" si="1"/>
        <v>0</v>
      </c>
      <c r="G57" s="98">
        <f>+F57*(100-F23)/100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rysunek techniczny tego systemu</v>
      </c>
      <c r="B60" s="7"/>
      <c r="C60" s="7"/>
      <c r="D60" s="71" t="str">
        <f>texty!A15</f>
        <v>w sumie (bez VAT)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zł</v>
      </c>
      <c r="I60" s="4"/>
      <c r="J60" s="166"/>
      <c r="K60" s="166"/>
      <c r="L60" s="4" t="str">
        <f>texty!A128</f>
        <v>srebrny</v>
      </c>
    </row>
    <row r="61" spans="1:13" ht="12.75" customHeight="1" x14ac:dyDescent="0.25">
      <c r="A61" s="70" t="str">
        <f>System10!A67</f>
        <v>Uwagi</v>
      </c>
      <c r="B61" s="698"/>
      <c r="C61" s="699"/>
      <c r="D61" s="699"/>
      <c r="E61" s="699"/>
      <c r="F61" s="699"/>
      <c r="G61" s="700"/>
      <c r="H61" s="5"/>
      <c r="L61" s="4" t="str">
        <f>texty!A130</f>
        <v>j.brąz</v>
      </c>
    </row>
    <row r="62" spans="1:13" ht="12.75" customHeight="1" x14ac:dyDescent="0.25">
      <c r="A62" s="694" t="str">
        <f>profil!U15</f>
        <v/>
      </c>
      <c r="B62" s="695"/>
      <c r="C62" s="695"/>
      <c r="D62" s="695"/>
      <c r="E62" s="695"/>
      <c r="F62" s="695"/>
      <c r="G62" s="695"/>
      <c r="H62" s="695"/>
    </row>
    <row r="63" spans="1:13" ht="12.75" customHeight="1" x14ac:dyDescent="0.25">
      <c r="A63" s="696" t="str">
        <f>IF(M63=1,texty!A215,IF(J63&gt;0,texty!A214,""))</f>
        <v>niektóre elementy nie są produkowane w wybranej długości</v>
      </c>
      <c r="B63" s="696"/>
      <c r="C63" s="696"/>
      <c r="D63" s="696"/>
      <c r="E63" s="696"/>
      <c r="F63" s="696"/>
      <c r="G63" s="696"/>
      <c r="H63" s="696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texty!A259</f>
        <v>Era (bezramowe)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",7,".",62)</f>
        <v>Katalog Okuć meblowych 2024 str. 7.62</v>
      </c>
      <c r="B3" s="318" t="str">
        <f>CONCATENATE(texty!A34," / max.        2 740 mm /")</f>
        <v>wysokość / max.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wypełnij 4 pola !!!! Informacje w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Maksymalna waga skrzydła to 35 kg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rozmiar wypełnienia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rozmiar lustra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długość rączki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4" t="str">
        <f>texty!A52</f>
        <v>dodatkowe zmniejszenie wysokośći wyliczonych wypełnień przy wykorzystaniu profili dzielących: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partnerska zniżka: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Kody zamówieniowe,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kod</v>
      </c>
      <c r="C25" s="16" t="str">
        <f>+System10!C27</f>
        <v>nazwa</v>
      </c>
      <c r="D25" s="17" t="str">
        <f>+System10!D27</f>
        <v>szt.</v>
      </c>
      <c r="E25" s="17" t="str">
        <f>+System10!E27</f>
        <v>cena/szt.</v>
      </c>
      <c r="F25" s="17" t="str">
        <f>+System10!F27</f>
        <v>cena w sumie</v>
      </c>
      <c r="G25" s="18" t="str">
        <f>+System10!G27</f>
        <v>w sumie netto:</v>
      </c>
      <c r="I25" s="16" t="str">
        <f>texty!A29</f>
        <v>Uwagi: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Tor górny: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Tor dolny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zaślepka toru dolnego</v>
      </c>
      <c r="B28" s="15">
        <v>216362</v>
      </c>
      <c r="C28" s="23" t="str">
        <f>+VLOOKUP(B28,cennik!A:G,2,FALSE)</f>
        <v>SEVROLL zaślepka gumowa do toru Simple/Blue przeźroczysta</v>
      </c>
      <c r="D28" s="15">
        <f>CEILING(C4/1000,1)</f>
        <v>0</v>
      </c>
      <c r="E28" s="86">
        <f>+VLOOKUP(B28,cennik!A:G,3,FALSE)</f>
        <v>3.4045299999999998</v>
      </c>
      <c r="F28" s="86">
        <f t="shared" si="0"/>
        <v>0</v>
      </c>
      <c r="G28" s="87">
        <f>+F28*(100-G24)/100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górne wózki</v>
      </c>
      <c r="B29" s="15">
        <v>349734</v>
      </c>
      <c r="C29" s="23" t="str">
        <f>+VLOOKUP(B29,cennik!A:G,2,FALSE)</f>
        <v>SEVROLL wózek górny Blue (do płyty laminowanej 18mm) bezramowy L+P</v>
      </c>
      <c r="D29" s="15">
        <f>+D4</f>
        <v>0</v>
      </c>
      <c r="E29" s="86">
        <f>+VLOOKUP(B29,cennik!A:G,3,FALSE)</f>
        <v>12.22138</v>
      </c>
      <c r="F29" s="86">
        <f t="shared" si="0"/>
        <v>0</v>
      </c>
      <c r="G29" s="87">
        <f>+F29*(100-G24)/100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dolne wózki</v>
      </c>
      <c r="B30" s="15">
        <v>349735</v>
      </c>
      <c r="C30" s="23" t="str">
        <f>+VLOOKUP(B30,cennik!A:G,2,FALSE)</f>
        <v>SEVROLL wózek dolny Blue V system bezramowy do 18mm - 2szt</v>
      </c>
      <c r="D30" s="15">
        <f>+D4</f>
        <v>0</v>
      </c>
      <c r="E30" s="86">
        <f>+VLOOKUP(B30,cennik!A:G,3,FALSE)</f>
        <v>17.35249</v>
      </c>
      <c r="F30" s="86">
        <f t="shared" si="0"/>
        <v>0</v>
      </c>
      <c r="G30" s="87">
        <f>+F30*(100-G24)/100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szczotka odbojowa</v>
      </c>
      <c r="B31" s="15">
        <v>98067</v>
      </c>
      <c r="C31" s="23" t="str">
        <f>+VLOOKUP(B31,cennik!A:G,2,FALSE)</f>
        <v>SEVROLL szczotka odbojowa zasuwana 14,5x4 mm</v>
      </c>
      <c r="D31" s="15">
        <f>CEILING((B4*D4*2/1000),1)</f>
        <v>0</v>
      </c>
      <c r="E31" s="86">
        <f>+VLOOKUP(B31,cennik!A:G,3,FALSE)</f>
        <v>1.224</v>
      </c>
      <c r="F31" s="86">
        <f t="shared" si="0"/>
        <v>0</v>
      </c>
      <c r="G31" s="87">
        <f>+F31*(100-G24)/100</f>
        <v>0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rączka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Akcesoria:</v>
      </c>
      <c r="B34" s="7"/>
      <c r="C34" s="475"/>
      <c r="D34" s="24" t="str">
        <f>System10!D41</f>
        <v>podaj ilość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pozycjoner wózka górnego</v>
      </c>
      <c r="B35" s="7">
        <v>298035</v>
      </c>
      <c r="C35" s="23" t="str">
        <f>+VLOOKUP(B35,cennik!A:G,2,FALSE)</f>
        <v>SEVROLL Fix pozycjoner wózka górnego transparentny</v>
      </c>
      <c r="D35" s="27"/>
      <c r="E35" s="86">
        <f>+VLOOKUP(B35,cennik!A:G,3,FALSE)</f>
        <v>3.74519</v>
      </c>
      <c r="F35" s="91">
        <f>+CEILING(D35,1)*E35</f>
        <v>0</v>
      </c>
      <c r="G35" s="87">
        <f>+F35*(100-G24)/100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pozycjoner</v>
      </c>
      <c r="B36" s="590">
        <v>229681</v>
      </c>
      <c r="C36" s="23" t="str">
        <f>+VLOOKUP(B36,cennik!A:G,2,FALSE)</f>
        <v>SEVROLL Simple/Blue pozycjoner wózka dolnego</v>
      </c>
      <c r="D36" s="27"/>
      <c r="E36" s="86">
        <f>+VLOOKUP(B36,cennik!A:G,3,FALSE)</f>
        <v>1.2257</v>
      </c>
      <c r="F36" s="86">
        <f>+E36*D36</f>
        <v>0</v>
      </c>
      <c r="G36" s="87">
        <f>+F36*(100-G24)/100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Wkręt do dolnego toru</v>
      </c>
      <c r="B37" s="7">
        <v>98019</v>
      </c>
      <c r="C37" s="23" t="str">
        <f>+VLOOKUP(B37,cennik!A:G,2,FALSE)</f>
        <v>SEVROLL wkręt 2,5x18mm</v>
      </c>
      <c r="D37" s="27"/>
      <c r="E37" s="86">
        <f>+VLOOKUP(B37,cennik!A:G,3,FALSE)</f>
        <v>0.10996</v>
      </c>
      <c r="F37" s="91">
        <f>+CEILING(D37,1)*E37</f>
        <v>0</v>
      </c>
      <c r="G37" s="87">
        <f>+F37*(100-G20)/100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profil łączący H21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profil łączący H28 Simple (18mm)</v>
      </c>
      <c r="B39" s="15" t="str">
        <f>IFERROR(+VLOOKUP(O7,data!C521:D523,2,0),"N/A")</f>
        <v>N/A</v>
      </c>
      <c r="C39" s="23" t="str">
        <f>IF(B39=data!D64,texty!A239,+VLOOKUP(B39,cennik!A:G,2,FALSE))</f>
        <v> w tym kolorze i długości dany profil nie jest produkowany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Tłumienie MINI do 25 kg (para)</v>
      </c>
      <c r="B40" s="15">
        <v>318662</v>
      </c>
      <c r="C40" s="23" t="str">
        <f>+VLOOKUP(B40,cennik!A:G,2,FALSE)</f>
        <v>SEVROLL tłumienie Mini SV25 (14-25kg)</v>
      </c>
      <c r="D40" s="27"/>
      <c r="E40" s="86">
        <f>+VLOOKUP(B40,cennik!A:G,3,FALSE)</f>
        <v>96.889799999999994</v>
      </c>
      <c r="F40" s="91">
        <f>+CEILING(D40,1)*E40</f>
        <v>0</v>
      </c>
      <c r="G40" s="87">
        <f>+F40*(100-G24)/100</f>
        <v>0</v>
      </c>
      <c r="H40" s="5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Tłumienie MINI do 40 kg (para)</v>
      </c>
      <c r="B41" s="15">
        <v>283956</v>
      </c>
      <c r="C41" s="23" t="str">
        <f>+VLOOKUP(B41,cennik!A:G,2,FALSE)</f>
        <v>SEVROLL tłumienie Mini SV40 (25 - 40kg)</v>
      </c>
      <c r="D41" s="27"/>
      <c r="E41" s="86">
        <f>+VLOOKUP(B41,cennik!A:G,3,FALSE)</f>
        <v>96.889799999999994</v>
      </c>
      <c r="F41" s="91">
        <f>+CEILING(D41,1)*E41</f>
        <v>0</v>
      </c>
      <c r="G41" s="87">
        <f>+F41*(100-G24)/100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 xml:space="preserve"> Tłumienie do skrzydła środkowego do 25 kg </v>
      </c>
      <c r="B42" s="15">
        <v>318663</v>
      </c>
      <c r="C42" s="23" t="str">
        <f>+VLOOKUP(B42,cennik!A:G,2,FALSE)</f>
        <v>SEVROLL tłumienie Central 10/18mm obustronne 25kg</v>
      </c>
      <c r="D42" s="27"/>
      <c r="E42" s="86">
        <f>+VLOOKUP(B42,cennik!A:G,3,FALSE)</f>
        <v>206.958</v>
      </c>
      <c r="F42" s="91">
        <f>+CEILING(D42,1)*E42</f>
        <v>0</v>
      </c>
      <c r="G42" s="87">
        <f>+F42*(100-G24)/100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 xml:space="preserve"> Tłumienie do skrzydła środkowego do 40 kg </v>
      </c>
      <c r="B43" s="15">
        <v>283955</v>
      </c>
      <c r="C43" s="23" t="str">
        <f>+VLOOKUP(B43,cennik!A:G,2,FALSE)</f>
        <v>SEVROLL tłumienie Central 10/18mm obustronne 25-40kg</v>
      </c>
      <c r="D43" s="27"/>
      <c r="E43" s="86">
        <f>+VLOOKUP(B43,cennik!A:G,3,FALSE)</f>
        <v>206.958</v>
      </c>
      <c r="F43" s="91">
        <f>+CEILING(D43,1)*E43</f>
        <v>0</v>
      </c>
      <c r="G43" s="87">
        <f>+F43*(100-G24)/100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szczotka przeciwkurzowa</v>
      </c>
      <c r="B44" s="15">
        <v>305348</v>
      </c>
      <c r="C44" s="23" t="str">
        <f>+VLOOKUP(B44,cennik!A:G,2,FALSE)</f>
        <v>SEVROLL szczotka przeciw kurzowa bez kleju 4,8x9 mm, szara</v>
      </c>
      <c r="D44" s="28"/>
      <c r="E44" s="86">
        <f>+VLOOKUP(B44,cennik!A:G,3,FALSE)</f>
        <v>0.89759999999999995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kątownik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kątownik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kątownik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kątownik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kątownik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kątownik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zacisk do dylatacji wypełnienia 16 mm</v>
      </c>
      <c r="B51" s="15">
        <v>308631</v>
      </c>
      <c r="C51" s="475" t="str">
        <f>+VLOOKUP(B51,cennik!A:G,2,FALSE)</f>
        <v>SEVROLL klin do płyty laminowanej grubość 2 mm (100 szt.)</v>
      </c>
      <c r="D51" s="27"/>
      <c r="E51" s="193">
        <f>+VLOOKUP(B51,cennik!A:G,3,FALSE)</f>
        <v>30.24597</v>
      </c>
      <c r="F51" s="99">
        <f t="shared" si="1"/>
        <v>0</v>
      </c>
      <c r="G51" s="98">
        <f>+F51*(100-G22)/100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zamek do drzwi przesuwnych</v>
      </c>
      <c r="B52" s="15">
        <v>216363</v>
      </c>
      <c r="C52" s="475" t="str">
        <f>+VLOOKUP(B52,cennik!A:G,2,FALSE)</f>
        <v>SEVROLL zamek do drzwi przesuwnych 10/18mm</v>
      </c>
      <c r="D52" s="27"/>
      <c r="E52" s="193">
        <f>+VLOOKUP(B52,cennik!A:G,3,FALSE)</f>
        <v>66.840599999999995</v>
      </c>
      <c r="F52" s="99">
        <f t="shared" si="1"/>
        <v>0</v>
      </c>
      <c r="G52" s="98">
        <f>+F52*(100-G22)/100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 xml:space="preserve">tutaj można znaleźć inne akcesoria 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rysunek techniczny tego systemu</v>
      </c>
      <c r="B56" s="7"/>
      <c r="C56" s="7"/>
      <c r="D56" s="71" t="str">
        <f>texty!A15</f>
        <v>w sumie (bez VAT)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zł</v>
      </c>
      <c r="I56" s="166"/>
      <c r="J56" s="166"/>
      <c r="K56" s="4" t="str">
        <f>texty!A128</f>
        <v>srebrny</v>
      </c>
    </row>
    <row r="57" spans="1:13" ht="12.75" customHeight="1" x14ac:dyDescent="0.25">
      <c r="A57" s="70" t="str">
        <f>System10!A67</f>
        <v>Uwagi</v>
      </c>
      <c r="B57" s="701"/>
      <c r="C57" s="702"/>
      <c r="D57" s="702"/>
      <c r="E57" s="702"/>
      <c r="F57" s="702"/>
      <c r="G57" s="702"/>
      <c r="K57" s="4" t="str">
        <f>texty!A130</f>
        <v>j.brąz</v>
      </c>
    </row>
    <row r="58" spans="1:13" ht="12.75" customHeight="1" x14ac:dyDescent="0.25">
      <c r="A58" s="694" t="str">
        <f>profil!U15</f>
        <v/>
      </c>
      <c r="B58" s="695"/>
      <c r="C58" s="695"/>
      <c r="D58" s="695"/>
      <c r="E58" s="695"/>
      <c r="F58" s="695"/>
      <c r="G58" s="695"/>
      <c r="K58" s="4" t="str">
        <f>data!J15</f>
        <v> biały połysk</v>
      </c>
    </row>
    <row r="59" spans="1:13" ht="12.75" customHeight="1" x14ac:dyDescent="0.25">
      <c r="A59" s="696" t="str">
        <f>IF(M59=1,texty!A215,IF(J59&gt;0,texty!A214,""))</f>
        <v>niektóre elementy nie są produkowane w wybranej długości</v>
      </c>
      <c r="B59" s="696"/>
      <c r="C59" s="696"/>
      <c r="D59" s="696"/>
      <c r="E59" s="696"/>
      <c r="F59" s="696"/>
      <c r="G59" s="696"/>
      <c r="J59" s="5" t="e">
        <f>SUM(J26:J55)</f>
        <v>#N/A</v>
      </c>
      <c r="K59" s="4" t="str">
        <f>data!J17</f>
        <v> czarny mat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5" t="s">
        <v>6580</v>
      </c>
      <c r="B2" s="317" t="str">
        <f>profil!T7</f>
        <v>Klient, , NIP: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2" t="str">
        <f>CONCATENATE(texty!A243," ",7,".",23)</f>
        <v>Katalog Okuć meblowych 2024 str. 7.23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</row>
    <row r="4" spans="1:22" ht="18" customHeight="1" x14ac:dyDescent="0.25">
      <c r="A4" s="321" t="str">
        <f>texty!A70</f>
        <v>WEWNĘTRZNY ROZMIAR SZAFY:</v>
      </c>
      <c r="B4" s="351"/>
      <c r="C4" s="351"/>
      <c r="D4" s="352"/>
      <c r="E4" s="352"/>
      <c r="F4" s="353"/>
      <c r="G4" s="691"/>
      <c r="H4" s="691"/>
      <c r="I4" s="691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2" t="str">
        <f>texty!A71</f>
        <v>skrzydło drzwi: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W przypadku wykorzystania szkła,</v>
      </c>
      <c r="H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2" t="str">
        <f>texty!A72</f>
        <v>rozmiar wypełnienia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należy wybrać bezpieczną szybę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długość toru i listwy maskującej skrzydła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 xml:space="preserve">Długość uszczelki na jedno skrzydło to 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24" customHeight="1" x14ac:dyDescent="0.25">
      <c r="A20" s="320"/>
      <c r="B20" s="596" t="str">
        <f>texty!A242</f>
        <v>dylatacja 4 mm</v>
      </c>
      <c r="C20" s="15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partnerska zniżka: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3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Tor górny: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3">
      <c r="A29" s="320" t="str">
        <f>texty!A82</f>
        <v>Tor dolny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texty!A83</f>
        <v>profil maskujący (maskownica):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texty!A84</f>
        <v>górne wózki</v>
      </c>
      <c r="B31" s="14">
        <v>89265</v>
      </c>
      <c r="C31" s="23" t="str">
        <f>+VLOOKUP(B31,cennik!A:G,2,FALSE)</f>
        <v>SEVROLL wózek górny 10mm asymetryczny L+P</v>
      </c>
      <c r="D31" s="15">
        <f>IF((D49+D50)&gt;D4,0,D4-(D49+D50))</f>
        <v>0</v>
      </c>
      <c r="E31" s="86">
        <f>+VLOOKUP(B31,cennik!A:G,3,FALSE)</f>
        <v>27.305399999999999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texty!A85</f>
        <v>dolne wózki</v>
      </c>
      <c r="B32" s="14">
        <f>IF(F4=M64,328321,229441)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texty!A89</f>
        <v>szczotka odbojowa</v>
      </c>
      <c r="B33" s="14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texty!A91</f>
        <v>rączka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5">
      <c r="A35" s="320" t="str">
        <f>texty!A92</f>
        <v>śruba łącząca</v>
      </c>
      <c r="B35" s="14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5">
      <c r="A36" s="320" t="str">
        <f>texty!A93</f>
        <v>listwa pozioma górna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5">
      <c r="A37" s="320" t="str">
        <f>texty!A94</f>
        <v>listwa pozioma górna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5">
      <c r="A38" s="320" t="str">
        <f>texty!A95</f>
        <v>poziomy dolny profil ramy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5">
      <c r="A39" s="320" t="str">
        <f>texty!A96</f>
        <v>poziomy dolny profil ramy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5">
      <c r="A41" s="325" t="str">
        <f>texty!A66</f>
        <v>Akcesoria:</v>
      </c>
      <c r="B41" s="14"/>
      <c r="D41" s="343" t="str">
        <f>texty!A33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5">
      <c r="A42" s="320" t="str">
        <f>texty!A88</f>
        <v>pozycjoner wózka górnego</v>
      </c>
      <c r="B42" s="14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86">
        <f>+E42*D42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</row>
    <row r="43" spans="1:22" ht="12.75" customHeight="1" x14ac:dyDescent="0.25">
      <c r="A43" s="320" t="str">
        <f>texty!A86</f>
        <v>pozycjoner</v>
      </c>
      <c r="B43" s="14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86">
        <f>+E43*D43</f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5">
      <c r="A44" s="320" t="str">
        <f>texty!A228</f>
        <v> Tłumienie MINI do 25 kg (para)</v>
      </c>
      <c r="B44" s="14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>+CEILING(D44,1)*E44</f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>+CEILING(D45,1)*E45</f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>+CEILING(D46,1)*E46</f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>+CEILING(D47,1)*E47</f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>+CEILING(D48,1)*E48</f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profil łączący H10-3metry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profil łączący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śruba łącząca</v>
      </c>
      <c r="B53" s="14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 t="shared" si="1"/>
        <v>0</v>
      </c>
      <c r="G53" s="87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354"/>
      <c r="E54" s="86">
        <f>+VLOOKUP(B54,cennik!A:G,3,FALSE)</f>
        <v>66.840599999999995</v>
      </c>
      <c r="F54" s="86">
        <f t="shared" si="1"/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354"/>
      <c r="E55" s="86">
        <f>+VLOOKUP(B55,cennik!A:G,3,FALSE)</f>
        <v>0.80579999999999996</v>
      </c>
      <c r="F55" s="86">
        <f t="shared" si="1"/>
        <v>0</v>
      </c>
      <c r="G55" s="87">
        <f>+F55*(100-G26)/100</f>
        <v>0</v>
      </c>
      <c r="H55" s="22" t="str">
        <f>cennik!B2</f>
        <v>zł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Długość uszczelki w przypadku całkowitego zaszklenia (należy zamówić całe metry)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(w przypadku kombinacji z profilami H należy dodać odpowiednią długość - uszczelka musi być na całym obwodzie każdego szkła)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uszczelka na szkło 4mm</v>
      </c>
      <c r="B59" s="15">
        <v>89238</v>
      </c>
      <c r="C59" s="23" t="str">
        <f>+VLOOKUP(B59,cennik!A:G,2,FALSE)</f>
        <v>SEVROLL uszczelka do szkła 10/4 mm</v>
      </c>
      <c r="D59" s="355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22" t="str">
        <f>cennik!B2</f>
        <v>zł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uszczelka na szkło 6mm</v>
      </c>
      <c r="B61" s="15">
        <v>89243</v>
      </c>
      <c r="C61" s="23" t="str">
        <f>+VLOOKUP(B61,cennik!A:G,2,FALSE)</f>
        <v>SEVROLL uszczelka bezbarwna 10/6mm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 xml:space="preserve">tutaj można znaleźć inne akcesoria 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rysunek techniczny tego systemu</v>
      </c>
      <c r="B63" s="15">
        <v>129677</v>
      </c>
      <c r="C63" s="348" t="str">
        <f>VLOOKUP(B63,cennik!A:C,2,0)</f>
        <v>SEVROLL element montażowy do płyty laminowanej 10mm mały</v>
      </c>
      <c r="D63" s="355"/>
      <c r="E63" s="86">
        <f>+VLOOKUP(B63,cennik!A:G,3,FALSE)</f>
        <v>51.590769999999999</v>
      </c>
      <c r="F63" s="91">
        <f>+CEILING(D63,1)*E63</f>
        <v>0</v>
      </c>
      <c r="G63" s="87">
        <f>+F63</f>
        <v>0</v>
      </c>
      <c r="H63" s="22" t="str">
        <f>cennik!B2</f>
        <v>zł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wiertło stopniowe 6,5/9,5mm</v>
      </c>
      <c r="D64" s="355"/>
      <c r="E64" s="86">
        <f>+VLOOKUP(B64,cennik!A:G,3,FALSE)</f>
        <v>116.85122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srebrny</v>
      </c>
      <c r="M64" s="4" t="s">
        <v>968</v>
      </c>
    </row>
    <row r="65" spans="1:14" ht="12.75" customHeight="1" x14ac:dyDescent="0.25">
      <c r="A65" s="683" t="str">
        <f>IF(SUM(D49:D50)&gt;0,IF(C7&lt;(B4/3),texty!A212,""),"")</f>
        <v/>
      </c>
      <c r="B65" s="683"/>
      <c r="C65" s="683"/>
      <c r="D65" s="683"/>
      <c r="E65" s="683"/>
      <c r="F65" s="683"/>
      <c r="G65" s="683"/>
      <c r="H65" s="683"/>
      <c r="I65" s="349"/>
      <c r="J65" s="210"/>
      <c r="K65" s="126"/>
      <c r="L65" s="4" t="str">
        <f>data!J5</f>
        <v>złoty/mosiądz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w sumie (bez VAT)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zł</v>
      </c>
      <c r="I66" s="4"/>
      <c r="J66" s="166"/>
      <c r="K66" s="166"/>
      <c r="L66" s="4" t="str">
        <f>data!J6</f>
        <v>j.brąz</v>
      </c>
    </row>
    <row r="67" spans="1:14" ht="12.75" customHeight="1" x14ac:dyDescent="0.25">
      <c r="A67" s="337" t="str">
        <f>texty!A14</f>
        <v>Uwagi</v>
      </c>
      <c r="B67" s="688"/>
      <c r="C67" s="689"/>
      <c r="D67" s="689"/>
      <c r="E67" s="689"/>
      <c r="F67" s="689"/>
      <c r="G67" s="690"/>
      <c r="H67" s="22"/>
      <c r="J67" s="166"/>
      <c r="K67" s="166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</row>
    <row r="69" spans="1:14" ht="12.75" customHeight="1" x14ac:dyDescent="0.25">
      <c r="A69" s="678" t="str">
        <f>IF(N69=1,"texty!A213",IF(K69&gt;0,texty!A214,""))</f>
        <v/>
      </c>
      <c r="B69" s="678"/>
      <c r="C69" s="678"/>
      <c r="D69" s="678"/>
      <c r="E69" s="678"/>
      <c r="F69" s="678"/>
      <c r="G69" s="678"/>
      <c r="H69" s="678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texty!A261</f>
        <v>Rekord (bezramowe)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",7,".",62)</f>
        <v>Katalog Okuć meblowych 2024 str. 7.62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wypełnij 4 pola !!!! Informacje w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texty!A47</f>
        <v>skrzydło drzwi: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Maksymalna waga skrzydła to 35 kg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rozmiar wypełnienia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rozmiar lustra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długość rączki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5" t="str">
        <f>texty!A78</f>
        <v>dodatkowe zmniejszenie wysokośći wyliczonych wypełnień przy wykorzystaniu profili dzielących: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partnerska zniżka: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Kody zamówieniowe,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kod</v>
      </c>
      <c r="C25" s="16" t="str">
        <f>+System10!C27</f>
        <v>nazwa</v>
      </c>
      <c r="D25" s="17" t="str">
        <f>+System10!D27</f>
        <v>szt.</v>
      </c>
      <c r="E25" s="17" t="str">
        <f>+System10!E27</f>
        <v>cena/szt.</v>
      </c>
      <c r="F25" s="17" t="str">
        <f>+System10!F27</f>
        <v>cena w sumie</v>
      </c>
      <c r="G25" s="18" t="str">
        <f>+System10!G27</f>
        <v>w sumie netto:</v>
      </c>
      <c r="I25" s="16" t="str">
        <f>texty!A29</f>
        <v>Uwagi: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Tor górny: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Tor dolny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zaślepka toru dolnego</v>
      </c>
      <c r="B28" s="15">
        <v>216362</v>
      </c>
      <c r="C28" s="23" t="str">
        <f>+VLOOKUP(B28,cennik!A:G,2,FALSE)</f>
        <v>SEVROLL zaślepka gumowa do toru Simple/Blue przeźroczysta</v>
      </c>
      <c r="D28" s="15">
        <f>CEILING(C4/1000,1)</f>
        <v>0</v>
      </c>
      <c r="E28" s="86">
        <f>+VLOOKUP(B28,cennik!A:G,3,FALSE)</f>
        <v>3.4045299999999998</v>
      </c>
      <c r="F28" s="86">
        <f t="shared" si="0"/>
        <v>0</v>
      </c>
      <c r="G28" s="87">
        <f>+F28*(100-G24)/100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górne wózki</v>
      </c>
      <c r="B29" s="15">
        <v>349734</v>
      </c>
      <c r="C29" s="23" t="str">
        <f>+VLOOKUP(B29,cennik!A:G,2,FALSE)</f>
        <v>SEVROLL wózek górny Blue (do płyty laminowanej 18mm) bezramowy L+P</v>
      </c>
      <c r="D29" s="15">
        <f>+D4</f>
        <v>0</v>
      </c>
      <c r="E29" s="86">
        <f>+VLOOKUP(B29,cennik!A:G,3,FALSE)</f>
        <v>12.22138</v>
      </c>
      <c r="F29" s="86">
        <f t="shared" si="0"/>
        <v>0</v>
      </c>
      <c r="G29" s="87">
        <f>+F29*(100-G24)/100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dolne wózki</v>
      </c>
      <c r="B30" s="15">
        <v>349735</v>
      </c>
      <c r="C30" s="23" t="str">
        <f>+VLOOKUP(B30,cennik!A:G,2,FALSE)</f>
        <v>SEVROLL wózek dolny Blue V system bezramowy do 18mm - 2szt</v>
      </c>
      <c r="D30" s="15">
        <f>+D4</f>
        <v>0</v>
      </c>
      <c r="E30" s="86">
        <f>+VLOOKUP(B30,cennik!A:G,3,FALSE)</f>
        <v>17.35249</v>
      </c>
      <c r="F30" s="86">
        <f t="shared" si="0"/>
        <v>0</v>
      </c>
      <c r="G30" s="87">
        <f>+F30*(100-G24)/100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szczotka odbojowa</v>
      </c>
      <c r="B31" s="15">
        <v>98067</v>
      </c>
      <c r="C31" s="23" t="str">
        <f>+VLOOKUP(B31,cennik!A:G,2,FALSE)</f>
        <v>SEVROLL szczotka odbojowa zasuwana 14,5x4 mm</v>
      </c>
      <c r="D31" s="15">
        <f>CEILING((B4*D4*2/1000),1)</f>
        <v>0</v>
      </c>
      <c r="E31" s="86">
        <f>+VLOOKUP(B31,cennik!A:G,3,FALSE)</f>
        <v>1.224</v>
      </c>
      <c r="F31" s="86">
        <f t="shared" si="0"/>
        <v>0</v>
      </c>
      <c r="G31" s="87">
        <f>+F31*(100-G24)/100</f>
        <v>0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rączka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Akcesoria:</v>
      </c>
      <c r="B34" s="7"/>
      <c r="C34" s="475"/>
      <c r="D34" s="24" t="str">
        <f>System10!D41</f>
        <v>podaj ilość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pozycjoner wózka górnego</v>
      </c>
      <c r="B35" s="7">
        <v>298035</v>
      </c>
      <c r="C35" s="23" t="str">
        <f>+VLOOKUP(B35,cennik!A:G,2,FALSE)</f>
        <v>SEVROLL Fix pozycjoner wózka górnego transparentny</v>
      </c>
      <c r="D35" s="27"/>
      <c r="E35" s="86">
        <f>+VLOOKUP(B35,cennik!A:G,3,FALSE)</f>
        <v>3.74519</v>
      </c>
      <c r="F35" s="91">
        <f>+CEILING(D35,1)*E35</f>
        <v>0</v>
      </c>
      <c r="G35" s="87">
        <f>+F35*(100-G24)/100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pozycjoner</v>
      </c>
      <c r="B36" s="590">
        <v>229681</v>
      </c>
      <c r="C36" s="23" t="str">
        <f>+VLOOKUP(B36,cennik!A:G,2,FALSE)</f>
        <v>SEVROLL Simple/Blue pozycjoner wózka dolnego</v>
      </c>
      <c r="D36" s="27"/>
      <c r="E36" s="86">
        <f>+VLOOKUP(B36,cennik!A:G,3,FALSE)</f>
        <v>1.2257</v>
      </c>
      <c r="F36" s="86">
        <f>+E36*D36</f>
        <v>0</v>
      </c>
      <c r="G36" s="87">
        <f>+F36*(100-G24)/100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Wkręt do dolnego toru</v>
      </c>
      <c r="B37" s="7">
        <v>98019</v>
      </c>
      <c r="C37" s="23" t="str">
        <f>+VLOOKUP(B37,cennik!A:G,2,FALSE)</f>
        <v>SEVROLL wkręt 2,5x18mm</v>
      </c>
      <c r="D37" s="27"/>
      <c r="E37" s="86">
        <f>+VLOOKUP(B37,cennik!A:G,3,FALSE)</f>
        <v>0.10996</v>
      </c>
      <c r="F37" s="91">
        <f>+CEILING(D37,1)*E37</f>
        <v>0</v>
      </c>
      <c r="G37" s="87">
        <f>+F37*(100-G20)/100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profil łączący H21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profil łączący H28 Simple (18mm)</v>
      </c>
      <c r="B39" s="15" t="str">
        <f>IFERROR(+VLOOKUP(O7,data!C521:D523,2,0),"N/A")</f>
        <v>N/A</v>
      </c>
      <c r="C39" s="23" t="str">
        <f>IF(B39=data!D64,texty!A239,+VLOOKUP(B39,cennik!A:G,2,FALSE))</f>
        <v> w tym kolorze i długości dany profil nie jest produkowany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Tłumienie MINI do 25 kg (para)</v>
      </c>
      <c r="B40" s="15">
        <v>318662</v>
      </c>
      <c r="C40" s="23" t="str">
        <f>+VLOOKUP(B40,cennik!A:G,2,FALSE)</f>
        <v>SEVROLL tłumienie Mini SV25 (14-25kg)</v>
      </c>
      <c r="D40" s="27"/>
      <c r="E40" s="86">
        <f>+VLOOKUP(B40,cennik!A:G,3,FALSE)</f>
        <v>96.889799999999994</v>
      </c>
      <c r="F40" s="91">
        <f>+CEILING(D40,1)*E40</f>
        <v>0</v>
      </c>
      <c r="G40" s="87">
        <f>+F40*(100-G24)/100</f>
        <v>0</v>
      </c>
      <c r="H40" s="5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Tłumienie MINI do 40 kg (para)</v>
      </c>
      <c r="B41" s="15">
        <v>283956</v>
      </c>
      <c r="C41" s="23" t="str">
        <f>+VLOOKUP(B41,cennik!A:G,2,FALSE)</f>
        <v>SEVROLL tłumienie Mini SV40 (25 - 40kg)</v>
      </c>
      <c r="D41" s="27"/>
      <c r="E41" s="86">
        <f>+VLOOKUP(B41,cennik!A:G,3,FALSE)</f>
        <v>96.889799999999994</v>
      </c>
      <c r="F41" s="91">
        <f>+CEILING(D41,1)*E41</f>
        <v>0</v>
      </c>
      <c r="G41" s="87">
        <f>+F41*(100-G24)/100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 xml:space="preserve"> Tłumienie do skrzydła środkowego do 25 kg </v>
      </c>
      <c r="B42" s="15">
        <v>318663</v>
      </c>
      <c r="C42" s="23" t="str">
        <f>+VLOOKUP(B42,cennik!A:G,2,FALSE)</f>
        <v>SEVROLL tłumienie Central 10/18mm obustronne 25kg</v>
      </c>
      <c r="D42" s="27"/>
      <c r="E42" s="86">
        <f>+VLOOKUP(B42,cennik!A:G,3,FALSE)</f>
        <v>206.958</v>
      </c>
      <c r="F42" s="91">
        <f>+CEILING(D42,1)*E42</f>
        <v>0</v>
      </c>
      <c r="G42" s="87">
        <f>+F42*(100-G24)/100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 xml:space="preserve"> Tłumienie do skrzydła środkowego do 40 kg </v>
      </c>
      <c r="B43" s="15">
        <v>283955</v>
      </c>
      <c r="C43" s="23" t="str">
        <f>+VLOOKUP(B43,cennik!A:G,2,FALSE)</f>
        <v>SEVROLL tłumienie Central 10/18mm obustronne 25-40kg</v>
      </c>
      <c r="D43" s="27"/>
      <c r="E43" s="86">
        <f>+VLOOKUP(B43,cennik!A:G,3,FALSE)</f>
        <v>206.958</v>
      </c>
      <c r="F43" s="91">
        <f>+CEILING(D43,1)*E43</f>
        <v>0</v>
      </c>
      <c r="G43" s="87">
        <f>+F43*(100-G24)/100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szczotka przeciwkurzowa</v>
      </c>
      <c r="B44" s="15">
        <v>305348</v>
      </c>
      <c r="C44" s="23" t="str">
        <f>+VLOOKUP(B44,cennik!A:G,2,FALSE)</f>
        <v>SEVROLL szczotka przeciw kurzowa bez kleju 4,8x9 mm, szara</v>
      </c>
      <c r="D44" s="28"/>
      <c r="E44" s="86">
        <f>+VLOOKUP(B44,cennik!A:G,3,FALSE)</f>
        <v>0.89759999999999995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kątownik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kątownik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kątownik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kątownik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kątownik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kątownik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zacisk do dylatacji wypełnienia 16 mm</v>
      </c>
      <c r="B51" s="15">
        <v>308631</v>
      </c>
      <c r="C51" s="475" t="str">
        <f>+VLOOKUP(B51,cennik!A:G,2,FALSE)</f>
        <v>SEVROLL klin do płyty laminowanej grubość 2 mm (100 szt.)</v>
      </c>
      <c r="D51" s="27"/>
      <c r="E51" s="193">
        <f>+VLOOKUP(B51,cennik!A:G,3,FALSE)</f>
        <v>30.24597</v>
      </c>
      <c r="F51" s="99">
        <f t="shared" si="1"/>
        <v>0</v>
      </c>
      <c r="G51" s="98">
        <f>+F51*(100-G22)/100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zamek do drzwi przesuwnych</v>
      </c>
      <c r="B52" s="15">
        <v>216363</v>
      </c>
      <c r="C52" s="475" t="str">
        <f>+VLOOKUP(B52,cennik!A:G,2,FALSE)</f>
        <v>SEVROLL zamek do drzwi przesuwnych 10/18mm</v>
      </c>
      <c r="D52" s="27"/>
      <c r="E52" s="193">
        <f>+VLOOKUP(B52,cennik!A:G,3,FALSE)</f>
        <v>66.840599999999995</v>
      </c>
      <c r="F52" s="99">
        <f t="shared" si="1"/>
        <v>0</v>
      </c>
      <c r="G52" s="98">
        <f>+F52*(100-G22)/100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 xml:space="preserve">tutaj można znaleźć inne akcesoria 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rysunek techniczny tego systemu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w sumie (bez VAT)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zł</v>
      </c>
      <c r="I56" s="166"/>
      <c r="J56" s="166"/>
      <c r="K56" s="4" t="str">
        <f>texty!A128</f>
        <v>srebrny</v>
      </c>
    </row>
    <row r="57" spans="1:13" ht="12.75" customHeight="1" x14ac:dyDescent="0.25">
      <c r="A57" s="70" t="str">
        <f>System10!A67</f>
        <v>Uwagi</v>
      </c>
      <c r="B57" s="701"/>
      <c r="C57" s="702"/>
      <c r="D57" s="702"/>
      <c r="E57" s="702"/>
      <c r="F57" s="702"/>
      <c r="G57" s="702"/>
      <c r="K57" s="4" t="str">
        <f>texty!A130</f>
        <v>j.brąz</v>
      </c>
    </row>
    <row r="58" spans="1:13" ht="12.75" customHeight="1" x14ac:dyDescent="0.25">
      <c r="A58" s="694" t="str">
        <f>profil!U15</f>
        <v/>
      </c>
      <c r="B58" s="695"/>
      <c r="C58" s="695"/>
      <c r="D58" s="695"/>
      <c r="E58" s="695"/>
      <c r="F58" s="695"/>
      <c r="G58" s="695"/>
      <c r="K58" s="4" t="str">
        <f>data!J17</f>
        <v> czarny mat</v>
      </c>
    </row>
    <row r="59" spans="1:13" ht="12.75" customHeight="1" x14ac:dyDescent="0.25">
      <c r="A59" s="696" t="str">
        <f>IF(M59=1,texty!A215,IF(J59&gt;0,texty!A214,""))</f>
        <v>niektóre elementy nie są produkowane w wybranej długości</v>
      </c>
      <c r="B59" s="696"/>
      <c r="C59" s="696"/>
      <c r="D59" s="696"/>
      <c r="E59" s="696"/>
      <c r="F59" s="696"/>
      <c r="G59" s="696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texty!A258</f>
        <v>Era (ramowe)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",7,".",58)</f>
        <v>Katalog Okuć meblowych 2024 str. 7.58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wypełnij 4 pola !!!! Informacje w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rozmiar wypełnienia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IFERROR((C7-57),"")</f>
        <v/>
      </c>
      <c r="D10" s="7"/>
      <c r="E10" s="7"/>
      <c r="F10" s="3" t="str">
        <f>texty!A44</f>
        <v>Maksymalna waga skrzydła to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1" t="str">
        <f>IF(SUM(D50:D51)&gt;0,texty!A247,"")</f>
        <v/>
      </c>
      <c r="B13" s="681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1"/>
      <c r="B14" s="681"/>
      <c r="C14" s="607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1" t="str">
        <f>IF(SUM(D52:D53)&gt;0,texty!A249,"")</f>
        <v/>
      </c>
      <c r="B15" s="681"/>
      <c r="C15" s="375"/>
      <c r="D15" s="7"/>
      <c r="E15" s="7"/>
      <c r="F15" s="5"/>
      <c r="G15" s="5"/>
      <c r="K15" s="31"/>
      <c r="Q15" s="147"/>
    </row>
    <row r="16" spans="1:21" ht="29.25" customHeight="1" x14ac:dyDescent="0.25">
      <c r="A16" s="681"/>
      <c r="B16" s="681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dylatacja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partnerska zniżka: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Kody zamówieniowe,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kod</v>
      </c>
      <c r="C29" s="16" t="str">
        <f>+System10!C27</f>
        <v>nazwa</v>
      </c>
      <c r="D29" s="17" t="str">
        <f>+System10!D27</f>
        <v>szt.</v>
      </c>
      <c r="E29" s="17" t="str">
        <f>+System10!E27</f>
        <v>cena/szt.</v>
      </c>
      <c r="F29" s="17" t="str">
        <f>+System10!F27</f>
        <v>cena w sumie</v>
      </c>
      <c r="G29" s="18" t="str">
        <f>+System10!G27</f>
        <v>w sumie netto:</v>
      </c>
      <c r="I29" s="16" t="str">
        <f>texty!A29</f>
        <v>Uwagi: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Tor górny: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Tor dolny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zaślepka toru dolnego</v>
      </c>
      <c r="B32" s="15">
        <v>216362</v>
      </c>
      <c r="C32" s="23" t="str">
        <f>+VLOOKUP(B32,cennik!A:G,2,FALSE)</f>
        <v>SEVROLL zaślepka gumowa do toru Simple/Blue przeźroczysta</v>
      </c>
      <c r="D32" s="15">
        <f>CEILING(C4/1000,1)</f>
        <v>0</v>
      </c>
      <c r="E32" s="86">
        <f>+VLOOKUP(B32,cennik!A:G,3,FALSE)</f>
        <v>3.4045299999999998</v>
      </c>
      <c r="F32" s="86">
        <f>+E32*D32</f>
        <v>0</v>
      </c>
      <c r="G32" s="87">
        <f>+F32*(100-G28)/100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górne wózki</v>
      </c>
      <c r="B33" s="15">
        <v>349732</v>
      </c>
      <c r="C33" s="23" t="str">
        <f>+VLOOKUP(B33,cennik!A:G,2,FALSE)</f>
        <v>SEVROLL wózek górny Blue (do płyty laminowanej 18mm) ramowy L+P</v>
      </c>
      <c r="D33" s="15">
        <f>+D4</f>
        <v>0</v>
      </c>
      <c r="E33" s="86">
        <f>+VLOOKUP(B33,cennik!A:G,3,FALSE)</f>
        <v>15.244389999999999</v>
      </c>
      <c r="F33" s="86">
        <f>+E33*D33</f>
        <v>0</v>
      </c>
      <c r="G33" s="87">
        <f>+F33*(100-G28)/100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dolne wózki</v>
      </c>
      <c r="B34" s="15">
        <v>229446</v>
      </c>
      <c r="C34" s="23" t="str">
        <f>+VLOOKUP(B34,cennik!A:G,2,FALSE)</f>
        <v>SEVROLL wózek dolny Simple/Blue V (system ramowy) - 2szt</v>
      </c>
      <c r="D34" s="15">
        <f>+D4</f>
        <v>0</v>
      </c>
      <c r="E34" s="86">
        <f>+VLOOKUP(B34,cennik!A:G,3,FALSE)</f>
        <v>16.17259</v>
      </c>
      <c r="F34" s="86">
        <f>+E34*D34</f>
        <v>0</v>
      </c>
      <c r="G34" s="87">
        <f>+F34*(100-G28)/100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szczotka odbojowa</v>
      </c>
      <c r="B35" s="15">
        <v>98067</v>
      </c>
      <c r="C35" s="23" t="str">
        <f>+VLOOKUP(B35,cennik!A:G,2,FALSE)</f>
        <v>SEVROLL szczotka odbojowa zasuwana 14,5x4 mm</v>
      </c>
      <c r="D35" s="15">
        <f>CEILING((B4*D4*2/1000),1)</f>
        <v>0</v>
      </c>
      <c r="E35" s="86">
        <f>+VLOOKUP(B35,cennik!A:G,3,FALSE)</f>
        <v>1.224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rączka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śruba łącząca</v>
      </c>
      <c r="B37" s="7">
        <v>346726</v>
      </c>
      <c r="C37" s="23" t="str">
        <f>+VLOOKUP(B37,cennik!A:G,2,FALSE)</f>
        <v>SEVROLL blachowkręt Blue 6,3x45</v>
      </c>
      <c r="D37" s="15">
        <f>+D4*4</f>
        <v>0</v>
      </c>
      <c r="E37" s="86">
        <f>+VLOOKUP(B37,cennik!A:G,3,FALSE)</f>
        <v>0.52376999999999996</v>
      </c>
      <c r="F37" s="86">
        <f t="shared" si="0"/>
        <v>0</v>
      </c>
      <c r="G37" s="87">
        <f>+F37*(100-G28)/100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listwa pozioma górna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listwa pozioma górna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poziomy dolny profil ramy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zł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poziomy dolny profil ramy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zł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Akcesoria:</v>
      </c>
      <c r="B43" s="7"/>
      <c r="C43" s="475"/>
      <c r="D43" s="24" t="str">
        <f>System10!D41</f>
        <v>podaj ilość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pozycjoner wózka górnego</v>
      </c>
      <c r="B44" s="7">
        <v>298035</v>
      </c>
      <c r="C44" s="23" t="str">
        <f>+VLOOKUP(B44,cennik!A:G,2,FALSE)</f>
        <v>SEVROLL Fix pozycjoner wózka górnego transparentny</v>
      </c>
      <c r="D44" s="27"/>
      <c r="E44" s="86">
        <f>+VLOOKUP(B44,cennik!A:G,3,FALSE)</f>
        <v>3.74519</v>
      </c>
      <c r="F44" s="91">
        <f>+CEILING(D44,1)*E44</f>
        <v>0</v>
      </c>
      <c r="G44" s="87">
        <f>+F44*(100-G28)/100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pozycjoner</v>
      </c>
      <c r="B45" s="590">
        <v>229681</v>
      </c>
      <c r="C45" s="23" t="str">
        <f>+VLOOKUP(B45,cennik!A:G,2,FALSE)</f>
        <v>SEVROLL Simple/Blue pozycjoner wózka dolnego</v>
      </c>
      <c r="D45" s="27"/>
      <c r="E45" s="86">
        <f>+VLOOKUP(B45,cennik!A:G,3,FALSE)</f>
        <v>1.2257</v>
      </c>
      <c r="F45" s="86">
        <f>+E45*D45</f>
        <v>0</v>
      </c>
      <c r="G45" s="87">
        <f>+F45*(100-G28)/100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Wkręt do dolnego toru</v>
      </c>
      <c r="B46" s="7">
        <v>98019</v>
      </c>
      <c r="C46" s="23" t="str">
        <f>+VLOOKUP(B46,cennik!A:G,2,FALSE)</f>
        <v>SEVROLL wkręt 2,5x18mm</v>
      </c>
      <c r="D46" s="27"/>
      <c r="E46" s="86">
        <f>+VLOOKUP(B46,cennik!A:G,3,FALSE)</f>
        <v>0.10996</v>
      </c>
      <c r="F46" s="91">
        <f>+CEILING(D46,1)*E46</f>
        <v>0</v>
      </c>
      <c r="G46" s="87">
        <f>+F46*(100-G24)/100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profil łączący H21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profil łączący H28 Simple (18mm)</v>
      </c>
      <c r="B48" s="15" t="str">
        <f>IFERROR(+VLOOKUP(O7,data!C521:D523,2,0),"N/A")</f>
        <v>N/A</v>
      </c>
      <c r="C48" s="23" t="str">
        <f>IF(B48=data!D64,texty!A239,+VLOOKUP(B48,cennik!A:G,2,FALSE))</f>
        <v> w tym kolorze i długości dany profil nie jest produkowany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śruba łącząca</v>
      </c>
      <c r="B49" s="15">
        <v>346726</v>
      </c>
      <c r="C49" s="23" t="str">
        <f>+VLOOKUP(B49,cennik!A:G,2,FALSE)</f>
        <v>SEVROLL blachowkręt Blue 6,3x45</v>
      </c>
      <c r="D49" s="28"/>
      <c r="E49" s="86">
        <f>+VLOOKUP(B49,cennik!A:G,3,FALSE)</f>
        <v>0.52376999999999996</v>
      </c>
      <c r="F49" s="86">
        <f>+E49*D49</f>
        <v>0</v>
      </c>
      <c r="G49" s="87">
        <f>+F49*(100-G28)/100</f>
        <v>0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Tłumienie MINI do 25 kg (para)</v>
      </c>
      <c r="B50" s="15">
        <v>318662</v>
      </c>
      <c r="C50" s="23" t="str">
        <f>+VLOOKUP(B50,cennik!A:G,2,FALSE)</f>
        <v>SEVROLL tłumienie Mini SV25 (14-25kg)</v>
      </c>
      <c r="D50" s="27"/>
      <c r="E50" s="86">
        <f>+VLOOKUP(B50,cennik!A:G,3,FALSE)</f>
        <v>96.889799999999994</v>
      </c>
      <c r="F50" s="91">
        <f>+CEILING(D50,1)*E50</f>
        <v>0</v>
      </c>
      <c r="G50" s="87">
        <f>+F50*(100-G28)/100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Tłumienie MINI do 40 kg (para)</v>
      </c>
      <c r="B51" s="15">
        <v>283956</v>
      </c>
      <c r="C51" s="23" t="str">
        <f>+VLOOKUP(B51,cennik!A:G,2,FALSE)</f>
        <v>SEVROLL tłumienie Mini SV40 (25 - 40kg)</v>
      </c>
      <c r="D51" s="27"/>
      <c r="E51" s="86">
        <f>+VLOOKUP(B51,cennik!A:G,3,FALSE)</f>
        <v>96.889799999999994</v>
      </c>
      <c r="F51" s="91">
        <f>+CEILING(D51,1)*E51</f>
        <v>0</v>
      </c>
      <c r="G51" s="87">
        <f>+F51*(100-G28)/100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 xml:space="preserve"> Tłumienie do skrzydła środkowego do 25 kg </v>
      </c>
      <c r="B52" s="15">
        <v>318663</v>
      </c>
      <c r="C52" s="23" t="str">
        <f>+VLOOKUP(B52,cennik!A:G,2,FALSE)</f>
        <v>SEVROLL tłumienie Central 10/18mm obustronne 25kg</v>
      </c>
      <c r="D52" s="27"/>
      <c r="E52" s="86">
        <f>+VLOOKUP(B52,cennik!A:G,3,FALSE)</f>
        <v>206.958</v>
      </c>
      <c r="F52" s="91">
        <f>+CEILING(D52,1)*E52</f>
        <v>0</v>
      </c>
      <c r="G52" s="87">
        <f>+F52*(100-G28)/100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 xml:space="preserve"> Tłumienie do skrzydła środkowego do 40 kg </v>
      </c>
      <c r="B53" s="15">
        <v>283955</v>
      </c>
      <c r="C53" s="23" t="str">
        <f>+VLOOKUP(B53,cennik!A:G,2,FALSE)</f>
        <v>SEVROLL tłumienie Central 10/18mm obustronne 25-40kg</v>
      </c>
      <c r="D53" s="27"/>
      <c r="E53" s="86">
        <f>+VLOOKUP(B53,cennik!A:G,3,FALSE)</f>
        <v>206.958</v>
      </c>
      <c r="F53" s="91">
        <f>+CEILING(D53,1)*E53</f>
        <v>0</v>
      </c>
      <c r="G53" s="87">
        <f>+F53*(100-G28)/100</f>
        <v>0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szczotka przeciwkurzowa</v>
      </c>
      <c r="B54" s="15">
        <v>305348</v>
      </c>
      <c r="C54" s="23" t="str">
        <f>+VLOOKUP(B54,cennik!A:G,2,FALSE)</f>
        <v>SEVROLL szczotka przeciw kurzowa bez kleju 4,8x9 mm, szara</v>
      </c>
      <c r="D54" s="28"/>
      <c r="E54" s="86">
        <f>+VLOOKUP(B54,cennik!A:G,3,FALSE)</f>
        <v>0.89759999999999995</v>
      </c>
      <c r="F54" s="86">
        <f>+E54*D54</f>
        <v>0</v>
      </c>
      <c r="G54" s="87">
        <f>+F54*(100-G28)/100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6" t="str">
        <f>IFERROR((CONCATENATE(texty!A7," ",D59," ",texty!A9)),"")</f>
        <v>Jeżeli wykorzystasz jako wypełnienie szkło/lustro, dodatkowo zamów uszczelkę. Długość uszczelki na jedno skrzydło to   szt, jeżeli masz więcej skrzydeł ze szklanym wypełnieniem, musisz tę liczbę pomnożyć.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Długość uszczelki w przypadku całkowitego zaszklenia (należy zamówić całe metry)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Długość uszczelki w przypadku całkowitego zaszklenia (należy zamówić całe metry)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2" t="str">
        <f>texty!A206</f>
        <v>Blue</v>
      </c>
      <c r="B62" s="7">
        <v>349856</v>
      </c>
      <c r="C62" s="23" t="str">
        <f>+VLOOKUP(B62,cennik!A:G,2,FALSE)</f>
        <v>SEVROLL klin mocujący Blue 40szt(szkło 4mm)</v>
      </c>
      <c r="D62" s="41"/>
      <c r="E62" s="86">
        <f>+VLOOKUP(B62,cennik!A:G,3,FALSE)</f>
        <v>42.618220000000001</v>
      </c>
      <c r="F62" s="86">
        <f>+E62*D62</f>
        <v>0</v>
      </c>
      <c r="G62" s="373">
        <f>+F62*(100-G28)/100</f>
        <v>0</v>
      </c>
      <c r="H62" s="7" t="str">
        <f>cennik!B2</f>
        <v>zł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 xml:space="preserve">tutaj można znaleźć inne akcesoria 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rysunek techniczny tego systemu</v>
      </c>
      <c r="B65" s="485">
        <v>128842</v>
      </c>
      <c r="C65" s="486" t="str">
        <f>VLOOKUP(B65,cennik!A:C,2,0)</f>
        <v>SEVROLL wiertło stopniowe 6,5/9,5mm</v>
      </c>
      <c r="D65" s="41"/>
      <c r="E65" s="86">
        <f>+VLOOKUP(B65,cennik!A:G,3,FALSE)</f>
        <v>116.85122</v>
      </c>
      <c r="F65" s="91">
        <f>+CEILING(D65,1)*E65</f>
        <v>0</v>
      </c>
      <c r="G65" s="87">
        <f>+F65</f>
        <v>0</v>
      </c>
      <c r="H65" s="5" t="str">
        <f>cennik!B2</f>
        <v>zł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w sumie (bez VAT)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zł</v>
      </c>
      <c r="I67" s="166"/>
      <c r="J67" s="166"/>
      <c r="K67" s="4" t="str">
        <f>texty!A128</f>
        <v>srebrny</v>
      </c>
    </row>
    <row r="68" spans="1:13" ht="12.75" customHeight="1" x14ac:dyDescent="0.25">
      <c r="A68" s="70" t="str">
        <f>System10!A67</f>
        <v>Uwagi</v>
      </c>
      <c r="B68" s="701"/>
      <c r="C68" s="702"/>
      <c r="D68" s="702"/>
      <c r="E68" s="702"/>
      <c r="F68" s="702"/>
      <c r="G68" s="702"/>
      <c r="K68" s="4" t="str">
        <f>texty!A130</f>
        <v>j.brąz</v>
      </c>
    </row>
    <row r="69" spans="1:13" ht="12.75" customHeight="1" x14ac:dyDescent="0.25">
      <c r="A69" s="694" t="str">
        <f>profil!U15</f>
        <v/>
      </c>
      <c r="B69" s="695"/>
      <c r="C69" s="695"/>
      <c r="D69" s="695"/>
      <c r="E69" s="695"/>
      <c r="F69" s="695"/>
      <c r="G69" s="695"/>
      <c r="K69" s="4" t="str">
        <f>data!J15</f>
        <v> biały połysk</v>
      </c>
    </row>
    <row r="70" spans="1:13" ht="12.75" customHeight="1" x14ac:dyDescent="0.25">
      <c r="A70" s="696" t="str">
        <f>IF(M70=1,texty!A215,IF(J70&gt;0,texty!A214,""))</f>
        <v>niektóre elementy nie są produkowane w wybranej długości</v>
      </c>
      <c r="B70" s="696"/>
      <c r="C70" s="696"/>
      <c r="D70" s="696"/>
      <c r="E70" s="696"/>
      <c r="F70" s="696"/>
      <c r="G70" s="696"/>
      <c r="J70" s="5" t="e">
        <f>SUM(J30:J65)</f>
        <v>#N/A</v>
      </c>
      <c r="K70" s="4" t="str">
        <f>data!J17</f>
        <v> czarny mat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texty!A260</f>
        <v>Rekord (ramowe)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2" t="str">
        <f>CONCATENATE(texty!A243," ",5,".",77)</f>
        <v>Katalog Okuć meblowych 2024 str. 5.77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wypełnij 4 pola !!!! Informacje w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rozmiar wypełnienia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IFERROR((C7-57),"")</f>
        <v/>
      </c>
      <c r="D10" s="7"/>
      <c r="E10" s="7"/>
      <c r="F10" s="3" t="str">
        <f>texty!A44</f>
        <v>Maksymalna waga skrzydła to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1" t="str">
        <f>IF(SUM(D50:D51)&gt;0,texty!A247,"")</f>
        <v/>
      </c>
      <c r="B13" s="681"/>
      <c r="C13" s="607" t="str">
        <f>texty!A78</f>
        <v>dodatkowe zmniejszenie wysokośći wyliczonych wypełnień przy wykorzystaniu profili dzielących: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1"/>
      <c r="B14" s="681"/>
      <c r="C14" s="375"/>
      <c r="D14" s="7"/>
      <c r="E14" s="7"/>
      <c r="F14" s="5"/>
      <c r="G14" s="5"/>
      <c r="K14" s="31"/>
      <c r="Q14" s="147"/>
    </row>
    <row r="15" spans="1:21" ht="19.95" customHeight="1" x14ac:dyDescent="0.25">
      <c r="A15" s="681" t="str">
        <f>IF(SUM(D52:D53)&gt;0,texty!A249,"")</f>
        <v/>
      </c>
      <c r="B15" s="681"/>
      <c r="C15" s="375"/>
      <c r="D15" s="7"/>
      <c r="E15" s="7"/>
      <c r="F15" s="5"/>
      <c r="G15" s="5"/>
      <c r="K15" s="31"/>
      <c r="Q15" s="147"/>
    </row>
    <row r="16" spans="1:21" ht="43.5" customHeight="1" x14ac:dyDescent="0.25">
      <c r="A16" s="681"/>
      <c r="B16" s="681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dylatacja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partnerska zniżka: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Kody zamówieniowe,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kod</v>
      </c>
      <c r="C29" s="16" t="str">
        <f>+System10!C27</f>
        <v>nazwa</v>
      </c>
      <c r="D29" s="17" t="str">
        <f>+System10!D27</f>
        <v>szt.</v>
      </c>
      <c r="E29" s="17" t="str">
        <f>+System10!E27</f>
        <v>cena/szt.</v>
      </c>
      <c r="F29" s="17" t="str">
        <f>+System10!F27</f>
        <v>cena w sumie</v>
      </c>
      <c r="G29" s="18" t="str">
        <f>+System10!G27</f>
        <v>w sumie netto:</v>
      </c>
      <c r="I29" s="16" t="str">
        <f>texty!A29</f>
        <v>Uwagi: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Tor górny: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Tor dolny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zaślepka toru dolnego</v>
      </c>
      <c r="B32" s="15">
        <v>216362</v>
      </c>
      <c r="C32" s="23" t="str">
        <f>+VLOOKUP(B32,cennik!A:G,2,FALSE)</f>
        <v>SEVROLL zaślepka gumowa do toru Simple/Blue przeźroczysta</v>
      </c>
      <c r="D32" s="15">
        <f>CEILING(C4/1000,1)</f>
        <v>0</v>
      </c>
      <c r="E32" s="86">
        <f>+VLOOKUP(B32,cennik!A:G,3,FALSE)</f>
        <v>3.4045299999999998</v>
      </c>
      <c r="F32" s="86">
        <f>+E32*D32</f>
        <v>0</v>
      </c>
      <c r="G32" s="87">
        <f>+F32*(100-G28)/100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górne wózki</v>
      </c>
      <c r="B33" s="15">
        <v>349732</v>
      </c>
      <c r="C33" s="23" t="str">
        <f>+VLOOKUP(B33,cennik!A:G,2,FALSE)</f>
        <v>SEVROLL wózek górny Blue (do płyty laminowanej 18mm) ramowy L+P</v>
      </c>
      <c r="D33" s="15">
        <f>+D4</f>
        <v>0</v>
      </c>
      <c r="E33" s="86">
        <f>+VLOOKUP(B33,cennik!A:G,3,FALSE)</f>
        <v>15.244389999999999</v>
      </c>
      <c r="F33" s="86">
        <f>+E33*D33</f>
        <v>0</v>
      </c>
      <c r="G33" s="87">
        <f>+F33*(100-G28)/100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dolne wózki</v>
      </c>
      <c r="B34" s="15">
        <v>229446</v>
      </c>
      <c r="C34" s="23" t="str">
        <f>+VLOOKUP(B34,cennik!A:G,2,FALSE)</f>
        <v>SEVROLL wózek dolny Simple/Blue V (system ramowy) - 2szt</v>
      </c>
      <c r="D34" s="15">
        <f>+D4</f>
        <v>0</v>
      </c>
      <c r="E34" s="86">
        <f>+VLOOKUP(B34,cennik!A:G,3,FALSE)</f>
        <v>16.17259</v>
      </c>
      <c r="F34" s="86">
        <f>+E34*D34</f>
        <v>0</v>
      </c>
      <c r="G34" s="87">
        <f>+F34*(100-G28)/100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szczotka odbojowa</v>
      </c>
      <c r="B35" s="15">
        <v>98067</v>
      </c>
      <c r="C35" s="23" t="str">
        <f>+VLOOKUP(B35,cennik!A:G,2,FALSE)</f>
        <v>SEVROLL szczotka odbojowa zasuwana 14,5x4 mm</v>
      </c>
      <c r="D35" s="15">
        <f>CEILING((B4*D4*2/1000),1)</f>
        <v>0</v>
      </c>
      <c r="E35" s="86">
        <f>+VLOOKUP(B35,cennik!A:G,3,FALSE)</f>
        <v>1.224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rączka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śruba łącząca</v>
      </c>
      <c r="B37" s="15">
        <v>346726</v>
      </c>
      <c r="C37" s="23" t="str">
        <f>+VLOOKUP(B37,cennik!A:G,2,FALSE)</f>
        <v>SEVROLL blachowkręt Blue 6,3x45</v>
      </c>
      <c r="D37" s="15">
        <f>+D4*4</f>
        <v>0</v>
      </c>
      <c r="E37" s="86">
        <f>+VLOOKUP(B37,cennik!A:G,3,FALSE)</f>
        <v>0.52376999999999996</v>
      </c>
      <c r="F37" s="86">
        <f t="shared" si="0"/>
        <v>0</v>
      </c>
      <c r="G37" s="87">
        <f>+F37*(100-G28)/100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listwa pozioma górna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listwa pozioma górna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poziomy dolny profil ramy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zł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poziomy dolny profil ramy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zł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Akcesoria:</v>
      </c>
      <c r="B43" s="7"/>
      <c r="C43" s="475"/>
      <c r="D43" s="24" t="str">
        <f>System10!D41</f>
        <v>podaj ilość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pozycjoner wózka górnego</v>
      </c>
      <c r="B44" s="7">
        <v>298035</v>
      </c>
      <c r="C44" s="23" t="str">
        <f>+VLOOKUP(B44,cennik!A:G,2,FALSE)</f>
        <v>SEVROLL Fix pozycjoner wózka górnego transparentny</v>
      </c>
      <c r="D44" s="27"/>
      <c r="E44" s="86">
        <f>+VLOOKUP(B44,cennik!A:G,3,FALSE)</f>
        <v>3.74519</v>
      </c>
      <c r="F44" s="91">
        <f>+CEILING(D44,1)*E44</f>
        <v>0</v>
      </c>
      <c r="G44" s="87">
        <f>+F44*(100-G28)/100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pozycjoner</v>
      </c>
      <c r="B45" s="590">
        <v>229681</v>
      </c>
      <c r="C45" s="23" t="str">
        <f>+VLOOKUP(B45,cennik!A:G,2,FALSE)</f>
        <v>SEVROLL Simple/Blue pozycjoner wózka dolnego</v>
      </c>
      <c r="D45" s="27"/>
      <c r="E45" s="86">
        <f>+VLOOKUP(B45,cennik!A:G,3,FALSE)</f>
        <v>1.2257</v>
      </c>
      <c r="F45" s="86">
        <f>+E45*D45</f>
        <v>0</v>
      </c>
      <c r="G45" s="87">
        <f>+F45*(100-G28)/100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Wkręt do dolnego toru</v>
      </c>
      <c r="B46" s="7">
        <v>98019</v>
      </c>
      <c r="C46" s="23" t="str">
        <f>+VLOOKUP(B46,cennik!A:G,2,FALSE)</f>
        <v>SEVROLL wkręt 2,5x18mm</v>
      </c>
      <c r="D46" s="27"/>
      <c r="E46" s="86">
        <f>+VLOOKUP(B46,cennik!A:G,3,FALSE)</f>
        <v>0.10996</v>
      </c>
      <c r="F46" s="91">
        <f>+CEILING(D46,1)*E46</f>
        <v>0</v>
      </c>
      <c r="G46" s="87">
        <f>+F46*(100-G24)/100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profil łączący H21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profil łączący H28 Simple (18mm)</v>
      </c>
      <c r="B48" s="15" t="str">
        <f>IFERROR(VLOOKUP(O7,data!C521:D523,2,0),"N/A")</f>
        <v>N/A</v>
      </c>
      <c r="C48" s="23" t="str">
        <f>IF(B48=data!D64,texty!A239,+VLOOKUP(B48,cennik!A:G,2,FALSE))</f>
        <v> w tym kolorze i długości dany profil nie jest produkowany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śruba łącząca</v>
      </c>
      <c r="B49" s="15">
        <v>346726</v>
      </c>
      <c r="C49" s="23" t="str">
        <f>+VLOOKUP(B49,cennik!A:G,2,FALSE)</f>
        <v>SEVROLL blachowkręt Blue 6,3x45</v>
      </c>
      <c r="D49" s="28"/>
      <c r="E49" s="86">
        <f>+VLOOKUP(B49,cennik!A:G,3,FALSE)</f>
        <v>0.52376999999999996</v>
      </c>
      <c r="F49" s="86">
        <f>+E49*D49</f>
        <v>0</v>
      </c>
      <c r="G49" s="87">
        <f>+F49*(100-G28)/100</f>
        <v>0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Tłumienie MINI do 25 kg (para)</v>
      </c>
      <c r="B50" s="15">
        <v>318662</v>
      </c>
      <c r="C50" s="23" t="str">
        <f>+VLOOKUP(B50,cennik!A:G,2,FALSE)</f>
        <v>SEVROLL tłumienie Mini SV25 (14-25kg)</v>
      </c>
      <c r="D50" s="27"/>
      <c r="E50" s="86">
        <f>+VLOOKUP(B50,cennik!A:G,3,FALSE)</f>
        <v>96.889799999999994</v>
      </c>
      <c r="F50" s="91">
        <f>+CEILING(D50,1)*E50</f>
        <v>0</v>
      </c>
      <c r="G50" s="87">
        <f>+F50*(100-G28)/100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Tłumienie MINI do 40 kg (para)</v>
      </c>
      <c r="B51" s="15">
        <v>283956</v>
      </c>
      <c r="C51" s="23" t="str">
        <f>+VLOOKUP(B51,cennik!A:G,2,FALSE)</f>
        <v>SEVROLL tłumienie Mini SV40 (25 - 40kg)</v>
      </c>
      <c r="D51" s="27"/>
      <c r="E51" s="86">
        <f>+VLOOKUP(B51,cennik!A:G,3,FALSE)</f>
        <v>96.889799999999994</v>
      </c>
      <c r="F51" s="91">
        <f>+CEILING(D51,1)*E51</f>
        <v>0</v>
      </c>
      <c r="G51" s="87">
        <f>+F51*(100-G28)/100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 xml:space="preserve"> Tłumienie do skrzydła środkowego do 25 kg </v>
      </c>
      <c r="B52" s="15">
        <v>318663</v>
      </c>
      <c r="C52" s="23" t="str">
        <f>+VLOOKUP(B52,cennik!A:G,2,FALSE)</f>
        <v>SEVROLL tłumienie Central 10/18mm obustronne 25kg</v>
      </c>
      <c r="D52" s="27"/>
      <c r="E52" s="86">
        <f>+VLOOKUP(B52,cennik!A:G,3,FALSE)</f>
        <v>206.958</v>
      </c>
      <c r="F52" s="91">
        <f>+CEILING(D52,1)*E52</f>
        <v>0</v>
      </c>
      <c r="G52" s="87">
        <f>+F52*(100-G28)/100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 xml:space="preserve"> Tłumienie do skrzydła środkowego do 40 kg </v>
      </c>
      <c r="B53" s="15">
        <v>283955</v>
      </c>
      <c r="C53" s="23" t="str">
        <f>+VLOOKUP(B53,cennik!A:G,2,FALSE)</f>
        <v>SEVROLL tłumienie Central 10/18mm obustronne 25-40kg</v>
      </c>
      <c r="D53" s="27"/>
      <c r="E53" s="86">
        <f>+VLOOKUP(B53,cennik!A:G,3,FALSE)</f>
        <v>206.958</v>
      </c>
      <c r="F53" s="91">
        <f>+CEILING(D53,1)*E53</f>
        <v>0</v>
      </c>
      <c r="G53" s="87">
        <f>+F53*(100-G28)/100</f>
        <v>0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szczotka przeciwkurzowa</v>
      </c>
      <c r="B54" s="15">
        <v>305348</v>
      </c>
      <c r="C54" s="23" t="str">
        <f>+VLOOKUP(B54,cennik!A:G,2,FALSE)</f>
        <v>SEVROLL szczotka przeciw kurzowa bez kleju 4,8x9 mm, szara</v>
      </c>
      <c r="D54" s="28"/>
      <c r="E54" s="86">
        <f>+VLOOKUP(B54,cennik!A:G,3,FALSE)</f>
        <v>0.89759999999999995</v>
      </c>
      <c r="F54" s="86">
        <f>+E54*D54</f>
        <v>0</v>
      </c>
      <c r="G54" s="87">
        <f>+F54*(100-G28)/100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6" t="str">
        <f>IFERROR((CONCATENATE(texty!A7," ",D58," ",texty!A9)),"")</f>
        <v>Jeżeli wykorzystasz jako wypełnienie szkło/lustro, dodatkowo zamów uszczelkę. Długość uszczelki na jedno skrzydło to   szt, jeżeli masz więcej skrzydeł ze szklanym wypełnieniem, musisz tę liczbę pomnożyć.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Długość uszczelki w przypadku całkowitego zaszklenia (należy zamówić całe metry)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Długość uszczelki w przypadku całkowitego zaszklenia (należy zamówić całe metry)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2" t="str">
        <f>texty!A206</f>
        <v>Blue</v>
      </c>
      <c r="B61" s="7">
        <v>349856</v>
      </c>
      <c r="C61" s="23" t="str">
        <f>+VLOOKUP(B61,cennik!A:G,2,FALSE)</f>
        <v>SEVROLL klin mocujący Blue 40szt(szkło 4mm)</v>
      </c>
      <c r="D61" s="41"/>
      <c r="E61" s="86">
        <f>+VLOOKUP(B61,cennik!A:G,3,FALSE)</f>
        <v>42.618220000000001</v>
      </c>
      <c r="F61" s="86">
        <f>+E61*D61</f>
        <v>0</v>
      </c>
      <c r="G61" s="373">
        <f>+F61*(100-G28)/100</f>
        <v>0</v>
      </c>
      <c r="H61" s="7" t="str">
        <f>cennik!B2</f>
        <v>zł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 xml:space="preserve">tutaj można znaleźć inne akcesoria 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rysunek techniczny tego systemu</v>
      </c>
      <c r="B64" s="487">
        <v>128842</v>
      </c>
      <c r="C64" s="486" t="str">
        <f>VLOOKUP(B64,cennik!A:C,2,0)</f>
        <v>SEVROLL wiertło stopniowe 6,5/9,5mm</v>
      </c>
      <c r="D64" s="41"/>
      <c r="E64" s="86">
        <f>+VLOOKUP(B64,cennik!A:G,3,FALSE)</f>
        <v>116.85122</v>
      </c>
      <c r="F64" s="91">
        <f>+CEILING(D64,1)*E64</f>
        <v>0</v>
      </c>
      <c r="G64" s="373">
        <f>+F64</f>
        <v>0</v>
      </c>
      <c r="H64" s="7" t="str">
        <f>cennik!B2</f>
        <v>zł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w sumie (bez VAT)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zł</v>
      </c>
      <c r="I66" s="166"/>
      <c r="J66" s="166"/>
      <c r="K66" s="4" t="str">
        <f>texty!A128</f>
        <v>srebrny</v>
      </c>
    </row>
    <row r="67" spans="1:13" ht="12.75" customHeight="1" x14ac:dyDescent="0.25">
      <c r="A67" s="70" t="str">
        <f>System10!A67</f>
        <v>Uwagi</v>
      </c>
      <c r="B67" s="701"/>
      <c r="C67" s="702"/>
      <c r="D67" s="702"/>
      <c r="E67" s="702"/>
      <c r="F67" s="702"/>
      <c r="G67" s="702"/>
      <c r="K67" s="4" t="str">
        <f>texty!A130</f>
        <v>j.brąz</v>
      </c>
    </row>
    <row r="68" spans="1:13" ht="12.75" customHeight="1" x14ac:dyDescent="0.25">
      <c r="A68" s="694" t="str">
        <f>profil!U15</f>
        <v/>
      </c>
      <c r="B68" s="695"/>
      <c r="C68" s="695"/>
      <c r="D68" s="695"/>
      <c r="E68" s="695"/>
      <c r="F68" s="695"/>
      <c r="G68" s="695"/>
      <c r="K68" s="4" t="str">
        <f>data!J17</f>
        <v> czarny mat</v>
      </c>
    </row>
    <row r="69" spans="1:13" ht="12.75" customHeight="1" x14ac:dyDescent="0.25">
      <c r="A69" s="696" t="str">
        <f>IF(M69=1,texty!A215,IF(J69&gt;0,texty!A214,""))</f>
        <v>niektóre elementy nie są produkowane w wybranej długości</v>
      </c>
      <c r="B69" s="696"/>
      <c r="C69" s="696"/>
      <c r="D69" s="696"/>
      <c r="E69" s="696"/>
      <c r="F69" s="696"/>
      <c r="G69" s="696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3" t="str">
        <f>texty!$A$21</f>
        <v>partnerska zniżka:</v>
      </c>
    </row>
    <row r="73" spans="1:6" x14ac:dyDescent="0.25">
      <c r="F73" s="131">
        <f>profil!C$15</f>
        <v>0</v>
      </c>
    </row>
    <row r="74" spans="1:6" ht="26.4" x14ac:dyDescent="0.25">
      <c r="C74" s="404" t="str">
        <f>texty!A33</f>
        <v>podaj ilość</v>
      </c>
      <c r="D74" s="157" t="str">
        <f>texty!$A$18</f>
        <v>cena/szt.</v>
      </c>
      <c r="E74" s="157" t="str">
        <f>texty!$A$19</f>
        <v>cena w sumie</v>
      </c>
    </row>
    <row r="75" spans="1:6" x14ac:dyDescent="0.25">
      <c r="A75">
        <v>222761</v>
      </c>
      <c r="B75" t="str">
        <f>VLOOKUP(A75,cennik!A:C,2,0)</f>
        <v>SEVROLL szablon do wózków do płyty laminowanej 18mm</v>
      </c>
      <c r="C75" s="27"/>
      <c r="D75">
        <f>+VLOOKUP(A75,cennik!$A:$G,3,FALSE)</f>
        <v>17.821909999999999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w sumie (bez VAT)</v>
      </c>
      <c r="D81" s="159"/>
      <c r="E81" s="159"/>
      <c r="F81" s="160">
        <f>SUM(F75:F79)</f>
        <v>0</v>
      </c>
      <c r="G81" t="str">
        <f>cennik!$B$2</f>
        <v>zł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7" t="str">
        <f>texty!A193</f>
        <v>Powrót do strony głównej</v>
      </c>
      <c r="B1" s="717"/>
      <c r="F1" s="272" t="str">
        <f>texty!$A$21</f>
        <v>partnerska zniżka:</v>
      </c>
    </row>
    <row r="2" spans="1:7" x14ac:dyDescent="0.25">
      <c r="F2" s="279"/>
    </row>
    <row r="3" spans="1:7" ht="41.25" customHeight="1" x14ac:dyDescent="0.25">
      <c r="A3" s="268" t="str">
        <f>texty!A190</f>
        <v xml:space="preserve">tutaj można znaleźć inne akcesoria </v>
      </c>
      <c r="C3" s="275" t="str">
        <f>texty!A33</f>
        <v>podaj ilość</v>
      </c>
      <c r="D3" s="272" t="str">
        <f>texty!$A$18</f>
        <v>cena/szt.</v>
      </c>
      <c r="E3" s="272" t="str">
        <f>texty!$A$19</f>
        <v>cena w sumie</v>
      </c>
    </row>
    <row r="4" spans="1:7" x14ac:dyDescent="0.25">
      <c r="A4" s="267">
        <v>129677</v>
      </c>
      <c r="B4" s="267" t="str">
        <f>VLOOKUP(A4,cennik!A:C,2,0)</f>
        <v>SEVROLL element montażowy do płyty laminowanej 10mm mały</v>
      </c>
      <c r="C4" s="278"/>
      <c r="D4" s="267">
        <f>+VLOOKUP(A4,cennik!$A:$G,3,FALSE)</f>
        <v>51.590769999999999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wiertło stopniowe 6,5/9,5mm</v>
      </c>
      <c r="C5" s="278"/>
      <c r="D5" s="267">
        <f>+VLOOKUP(A5,cennik!$A:$G,3,FALSE)</f>
        <v>116.85122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klips do szczotki przeciwkurzowej</v>
      </c>
      <c r="C6" s="278"/>
      <c r="D6" s="267">
        <f>+VLOOKUP(A6,cennik!$A:$G,3,FALSE)</f>
        <v>0.23857999999999999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IF-nakładka samoprzylepna 20mm 15szt. 93336 Aluminium mat</v>
      </c>
      <c r="C7" s="278"/>
      <c r="D7" s="267" t="e">
        <f>+VLOOKUP(A7,cennik!$A:$G,3,FALSE)</f>
        <v>#N/A</v>
      </c>
      <c r="E7" s="273" t="e">
        <f>D7*C7</f>
        <v>#N/A</v>
      </c>
      <c r="F7" s="273" t="e">
        <f>+E7</f>
        <v>#N/A</v>
      </c>
      <c r="G7" s="267" t="str">
        <f>CONCATENATE("(20 ",texty!$A$17,"; ",texty!$A$18,")")</f>
        <v>(20 szt.; cena/szt.)</v>
      </c>
    </row>
    <row r="8" spans="1:7" x14ac:dyDescent="0.25">
      <c r="A8" s="267">
        <v>283283</v>
      </c>
      <c r="B8" s="19" t="str">
        <f>+VLOOKUP(A8,cennik!$A:$G,2,FALSE)</f>
        <v>IF-nakładka samoprzylepna 13mm 20szt. 06 oliwkowy metalik</v>
      </c>
      <c r="C8" s="278"/>
      <c r="D8" s="267" t="e">
        <f>+VLOOKUP(A8,cennik!$A:$G,3,FALSE)</f>
        <v>#N/A</v>
      </c>
      <c r="E8" s="273" t="e">
        <f>D8*C8</f>
        <v>#N/A</v>
      </c>
      <c r="F8" s="273" t="e">
        <f>+E8</f>
        <v>#N/A</v>
      </c>
      <c r="G8" s="267" t="str">
        <f>CONCATENATE("(20 ",texty!$A$17,"; ",texty!$A$18,")")</f>
        <v>(20 szt.; cena/szt.)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Proste tory do systemow: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horní vedení 1,7m stříbrná</v>
      </c>
      <c r="C13" s="278"/>
      <c r="D13" s="273">
        <f>+VLOOKUP(A13,cennik!$A:$G,3,FALSE)</f>
        <v>51.049550000000004</v>
      </c>
      <c r="E13" s="273">
        <f>D13*C13</f>
        <v>0</v>
      </c>
      <c r="F13" s="273">
        <f>+E13*(100-$F$2)/100</f>
        <v>0</v>
      </c>
      <c r="G13" s="267" t="str">
        <f>cennik!$B$2</f>
        <v>zł</v>
      </c>
    </row>
    <row r="14" spans="1:7" x14ac:dyDescent="0.25">
      <c r="A14" s="267">
        <v>89032</v>
      </c>
      <c r="B14" s="267" t="str">
        <f>VLOOKUP(A14,cennik!A:C,2,0)</f>
        <v>SEVROLL 01256 Single horní vedení 2,35m stříbrná</v>
      </c>
      <c r="C14" s="278"/>
      <c r="D14" s="273">
        <f>+VLOOKUP(A14,cennik!$A:$G,3,FALSE)</f>
        <v>70.492769999999993</v>
      </c>
      <c r="E14" s="273">
        <f>D14*C14</f>
        <v>0</v>
      </c>
      <c r="F14" s="273">
        <f>+E14*(100-$F$2)/100</f>
        <v>0</v>
      </c>
      <c r="G14" s="267" t="str">
        <f>cennik!$B$2</f>
        <v>zł</v>
      </c>
    </row>
    <row r="15" spans="1:7" x14ac:dyDescent="0.25">
      <c r="A15" s="267">
        <v>89035</v>
      </c>
      <c r="B15" s="267" t="str">
        <f>VLOOKUP(A15,cennik!A:C,2,0)</f>
        <v>SEVROLL 01257 Single horní vedení 3m stříbrná</v>
      </c>
      <c r="C15" s="278"/>
      <c r="D15" s="273">
        <f>+VLOOKUP(A15,cennik!$A:$G,3,FALSE)</f>
        <v>90.113560000000007</v>
      </c>
      <c r="E15" s="273">
        <f>D15*C15</f>
        <v>0</v>
      </c>
      <c r="F15" s="273">
        <f>+E15*(100-$F$2)/100</f>
        <v>0</v>
      </c>
      <c r="G15" s="267" t="str">
        <f>cennik!$B$2</f>
        <v>zł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Hide M tor dolny 3m srebrny</v>
      </c>
      <c r="C18" s="278"/>
      <c r="D18" s="273">
        <f>+VLOOKUP(A18,cennik!$A:$G,3,FALSE)</f>
        <v>29.8307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zł</v>
      </c>
    </row>
    <row r="19" spans="1:7" x14ac:dyDescent="0.25">
      <c r="A19" s="267">
        <v>197753</v>
      </c>
      <c r="B19" s="267" t="str">
        <f>VLOOKUP(A19,cennik!A:C,2,0)</f>
        <v>SEVROLL Hide N tor dolny 3m srebrny</v>
      </c>
      <c r="C19" s="278"/>
      <c r="D19" s="273">
        <f>+VLOOKUP(A19,cennik!$A:$G,3,FALSE)</f>
        <v>43.414319999999996</v>
      </c>
      <c r="E19" s="273">
        <f t="shared" si="0"/>
        <v>0</v>
      </c>
      <c r="F19" s="273">
        <f t="shared" si="1"/>
        <v>0</v>
      </c>
      <c r="G19" s="267" t="str">
        <f>cennik!$B$2</f>
        <v>zł</v>
      </c>
    </row>
    <row r="20" spans="1:7" x14ac:dyDescent="0.25">
      <c r="A20" s="267">
        <v>223405</v>
      </c>
      <c r="B20" s="267" t="str">
        <f>VLOOKUP(A20,cennik!A:C,2,0)</f>
        <v>SEVROLL Hide M tor dolny 3 m oliwka</v>
      </c>
      <c r="C20" s="278"/>
      <c r="D20" s="273">
        <f>+VLOOKUP(A20,cennik!$A:$G,3,FALSE)</f>
        <v>36.22298</v>
      </c>
      <c r="E20" s="273">
        <f t="shared" si="0"/>
        <v>0</v>
      </c>
      <c r="F20" s="273">
        <f t="shared" si="1"/>
        <v>0</v>
      </c>
      <c r="G20" s="267" t="str">
        <f>cennik!$B$2</f>
        <v>zł</v>
      </c>
    </row>
    <row r="21" spans="1:7" x14ac:dyDescent="0.25">
      <c r="A21" s="267">
        <v>197755</v>
      </c>
      <c r="B21" s="267" t="str">
        <f>VLOOKUP(A21,cennik!A:C,2,0)</f>
        <v>SEVROLL Hide N tor dolny 3 m oliwka</v>
      </c>
      <c r="C21" s="278"/>
      <c r="D21" s="273">
        <f>+VLOOKUP(A21,cennik!$A:$G,3,FALSE)</f>
        <v>50.871980000000001</v>
      </c>
      <c r="E21" s="273">
        <f t="shared" si="0"/>
        <v>0</v>
      </c>
      <c r="F21" s="273">
        <f t="shared" si="1"/>
        <v>0</v>
      </c>
      <c r="G21" s="267" t="str">
        <f>cennik!$B$2</f>
        <v>zł</v>
      </c>
    </row>
    <row r="22" spans="1:7" x14ac:dyDescent="0.25">
      <c r="A22" s="267">
        <v>279078</v>
      </c>
      <c r="B22" s="267" t="str">
        <f>VLOOKUP(A22,cennik!A:C,2,0)</f>
        <v>SEVROLL Hide N tor dolny 6 m, jasny brąz</v>
      </c>
      <c r="C22" s="278"/>
      <c r="D22" s="273">
        <f>+VLOOKUP(A22,cennik!$A:$G,3,FALSE)</f>
        <v>0</v>
      </c>
      <c r="E22" s="273">
        <f t="shared" si="0"/>
        <v>0</v>
      </c>
      <c r="F22" s="273">
        <f t="shared" si="1"/>
        <v>0</v>
      </c>
      <c r="G22" s="267" t="str">
        <f>cennik!$B$2</f>
        <v>zł</v>
      </c>
    </row>
    <row r="23" spans="1:7" x14ac:dyDescent="0.25">
      <c r="A23" s="267">
        <v>212613</v>
      </c>
      <c r="B23" s="267" t="str">
        <f>VLOOKUP(A23,cennik!A:C,2,0)</f>
        <v>SEVROLL zaślepka do toru Hide N srebrna</v>
      </c>
      <c r="C23" s="278"/>
      <c r="D23" s="273">
        <f>+VLOOKUP(A23,cennik!$A:$G,3,FALSE)</f>
        <v>18.523420000000002</v>
      </c>
      <c r="E23" s="273">
        <f t="shared" si="0"/>
        <v>0</v>
      </c>
      <c r="F23" s="273">
        <f t="shared" si="1"/>
        <v>0</v>
      </c>
      <c r="G23" s="267" t="str">
        <f>cennik!$B$2</f>
        <v>zł</v>
      </c>
    </row>
    <row r="24" spans="1:7" x14ac:dyDescent="0.25">
      <c r="A24" s="267">
        <v>212616</v>
      </c>
      <c r="B24" s="267" t="str">
        <f>VLOOKUP(A24,cennik!A:C,2,0)</f>
        <v>SEVROLL stoper do torów Hide N i M</v>
      </c>
      <c r="C24" s="278"/>
      <c r="D24" s="273">
        <f>+VLOOKUP(A24,cennik!$A:$G,3,FALSE)</f>
        <v>12.1584</v>
      </c>
      <c r="E24" s="273">
        <f t="shared" si="0"/>
        <v>0</v>
      </c>
      <c r="F24" s="273">
        <f t="shared" si="1"/>
        <v>0</v>
      </c>
      <c r="G24" s="267" t="str">
        <f>cennik!$B$2</f>
        <v>zł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01135 Smart tor dolny 1,7 m, srebrny</v>
      </c>
      <c r="C27" s="278"/>
      <c r="D27" s="273">
        <f>+VLOOKUP(A27,cennik!$A:$G,3,FALSE)</f>
        <v>14.2188</v>
      </c>
      <c r="E27" s="273">
        <f>D27*C27</f>
        <v>0</v>
      </c>
      <c r="F27" s="273">
        <f>+E27*(100-$F$2)/100</f>
        <v>0</v>
      </c>
      <c r="G27" s="267" t="str">
        <f>cennik!$B$2</f>
        <v>zł</v>
      </c>
    </row>
    <row r="28" spans="1:7" x14ac:dyDescent="0.25">
      <c r="A28" s="267">
        <v>84195</v>
      </c>
      <c r="B28" s="267" t="str">
        <f>VLOOKUP(A28,cennik!A:C,2,0)</f>
        <v>SEVROLL Smart tor dolny 2,35m srebrny</v>
      </c>
      <c r="C28" s="278"/>
      <c r="D28" s="273">
        <f>+VLOOKUP(A28,cennik!$A:$G,3,FALSE)</f>
        <v>19.6554</v>
      </c>
      <c r="E28" s="273">
        <f>D28*C28</f>
        <v>0</v>
      </c>
      <c r="F28" s="273">
        <f>+E28*(100-$F$2)/100</f>
        <v>0</v>
      </c>
      <c r="G28" s="267" t="str">
        <f>cennik!$B$2</f>
        <v>zł</v>
      </c>
    </row>
    <row r="29" spans="1:7" x14ac:dyDescent="0.25">
      <c r="A29" s="267">
        <v>84198</v>
      </c>
      <c r="B29" s="267" t="str">
        <f>VLOOKUP(A29,cennik!A:C,2,0)</f>
        <v>SEVROLL Smart tor dolny 3m srebrny</v>
      </c>
      <c r="C29" s="278"/>
      <c r="D29" s="273">
        <f>+VLOOKUP(A29,cennik!$A:$G,3,FALSE)</f>
        <v>25.1022</v>
      </c>
      <c r="E29" s="273">
        <f>D29*C29</f>
        <v>0</v>
      </c>
      <c r="F29" s="273">
        <f>+E29*(100-$F$2)/100</f>
        <v>0</v>
      </c>
      <c r="G29" s="267" t="str">
        <f>cennik!$B$2</f>
        <v>zł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 Folia do dekorowania profili (naklejana)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Szpros S10 3m oliwka</v>
      </c>
      <c r="C33" s="278"/>
      <c r="D33" s="273">
        <f>+VLOOKUP(A33,cennik!$A:$G,3,FALSE)</f>
        <v>14.675560000000001</v>
      </c>
      <c r="E33" s="273">
        <f>D33*C33</f>
        <v>0</v>
      </c>
      <c r="F33" s="273">
        <f>+E33*(100-$F$2)/100</f>
        <v>0</v>
      </c>
      <c r="G33" s="267" t="str">
        <f>cennik!$B$2</f>
        <v>zł</v>
      </c>
    </row>
    <row r="34" spans="1:7" x14ac:dyDescent="0.25">
      <c r="A34" s="267">
        <v>135156</v>
      </c>
      <c r="B34" s="267" t="str">
        <f>VLOOKUP(A34,cennik!A:C,2,0)</f>
        <v>SEVROLL 02336 Szpros S10 3m oliwka</v>
      </c>
      <c r="C34" s="278"/>
      <c r="D34" s="273">
        <f>+VLOOKUP(A34,cennik!$A:$G,3,FALSE)</f>
        <v>12.0054</v>
      </c>
      <c r="E34" s="273">
        <f>D34*C34</f>
        <v>0</v>
      </c>
      <c r="F34" s="273">
        <f>+E34*(100-$F$2)/100</f>
        <v>0</v>
      </c>
      <c r="G34" s="267" t="str">
        <f>cennik!$B$2</f>
        <v>zł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Szpros S20 3m jasny brąz</v>
      </c>
      <c r="C36" s="278"/>
      <c r="D36" s="273">
        <f>+VLOOKUP(A36,cennik!$A:$G,3,FALSE)</f>
        <v>26.219149999999999</v>
      </c>
      <c r="E36" s="273">
        <f>D36*C36</f>
        <v>0</v>
      </c>
      <c r="F36" s="273">
        <f>+E36*(100-$F$2)/100</f>
        <v>0</v>
      </c>
      <c r="G36" s="267" t="str">
        <f>cennik!$B$2</f>
        <v>zł</v>
      </c>
    </row>
    <row r="37" spans="1:7" x14ac:dyDescent="0.25">
      <c r="A37" s="267">
        <v>134300</v>
      </c>
      <c r="B37" s="267" t="str">
        <f>VLOOKUP(A37,cennik!A:C,2,0)</f>
        <v>SEVROLL Szpros S20 3m srebrny</v>
      </c>
      <c r="C37" s="278"/>
      <c r="D37" s="273">
        <f>+VLOOKUP(A37,cennik!$A:$G,3,FALSE)</f>
        <v>21.725999999999999</v>
      </c>
      <c r="E37" s="273">
        <f>D37*C37</f>
        <v>0</v>
      </c>
      <c r="F37" s="273">
        <f>+E37*(100-$F$2)/100</f>
        <v>0</v>
      </c>
      <c r="G37" s="267" t="str">
        <f>cennik!$B$2</f>
        <v>zł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FOLIE OCHRONNE DO SZYB</v>
      </c>
    </row>
    <row r="43" spans="1:7" x14ac:dyDescent="0.25">
      <c r="A43" s="267">
        <v>203857</v>
      </c>
      <c r="B43" s="267" t="str">
        <f>VLOOKUP(A43,cennik!A:C,2,0)</f>
        <v>ANB-folia ochronna 200mm/250m transparentna</v>
      </c>
      <c r="C43" s="278"/>
      <c r="D43" s="273">
        <f>+VLOOKUP(A43,cennik!$A:$G,3,FALSE)</f>
        <v>325.75200000000001</v>
      </c>
      <c r="E43" s="273">
        <f>D43*C43</f>
        <v>0</v>
      </c>
      <c r="F43" s="273">
        <f>+E43*(100-$F$2)/100</f>
        <v>0</v>
      </c>
      <c r="G43" s="267" t="str">
        <f>cennik!$B$2</f>
        <v>zł</v>
      </c>
    </row>
    <row r="44" spans="1:7" x14ac:dyDescent="0.25">
      <c r="A44" s="267">
        <v>203859</v>
      </c>
      <c r="B44" s="267" t="str">
        <f>VLOOKUP(A44,cennik!A:C,2,0)</f>
        <v>ANB-folia ochronna 250mm/250m transparentna</v>
      </c>
      <c r="C44" s="278"/>
      <c r="D44" s="273">
        <f>+VLOOKUP(A44,cennik!$A:$G,3,FALSE)</f>
        <v>407.19</v>
      </c>
      <c r="E44" s="273">
        <f>D44*C44</f>
        <v>0</v>
      </c>
      <c r="F44" s="273">
        <f>+E44*(100-$F$2)/100</f>
        <v>0</v>
      </c>
      <c r="G44" s="267" t="str">
        <f>cennik!$B$2</f>
        <v>zł</v>
      </c>
    </row>
    <row r="45" spans="1:7" x14ac:dyDescent="0.25">
      <c r="A45" s="267">
        <v>203860</v>
      </c>
      <c r="B45" s="267" t="str">
        <f>VLOOKUP(A45,cennik!A:C,2,0)</f>
        <v>ANB-folia ochronna 300mm/250m transparentna</v>
      </c>
      <c r="C45" s="278"/>
      <c r="D45" s="273">
        <f>+VLOOKUP(A45,cennik!$A:$G,3,FALSE)</f>
        <v>488.62799999999999</v>
      </c>
      <c r="E45" s="273">
        <f>D45*C45</f>
        <v>0</v>
      </c>
      <c r="F45" s="273">
        <f>+E45*(100-$F$2)/100</f>
        <v>0</v>
      </c>
      <c r="G45" s="267" t="str">
        <f>cennik!$B$2</f>
        <v>zł</v>
      </c>
    </row>
    <row r="46" spans="1:7" x14ac:dyDescent="0.25">
      <c r="A46" s="267">
        <v>203861</v>
      </c>
      <c r="B46" s="267" t="str">
        <f>VLOOKUP(A46,cennik!A:C,2,0)</f>
        <v>ANB-folia ochronna 400mm/250m transparentna</v>
      </c>
      <c r="C46" s="278">
        <v>1</v>
      </c>
      <c r="D46" s="273">
        <f>+VLOOKUP(A46,cennik!$A:$G,3,FALSE)</f>
        <v>651.50400000000002</v>
      </c>
      <c r="E46" s="273">
        <f>D46*C46</f>
        <v>651.50400000000002</v>
      </c>
      <c r="F46" s="273">
        <f>+E46*(100-$F$2)/100</f>
        <v>651.50400000000002</v>
      </c>
      <c r="G46" s="267" t="str">
        <f>cennik!$B$2</f>
        <v>zł</v>
      </c>
    </row>
    <row r="47" spans="1:7" x14ac:dyDescent="0.25">
      <c r="A47" s="267">
        <v>203862</v>
      </c>
      <c r="B47" s="267" t="str">
        <f>VLOOKUP(A47,cennik!A:C,2,0)</f>
        <v>ANB-folia ochronna 500mm/250m transparentna</v>
      </c>
      <c r="C47" s="278"/>
      <c r="D47" s="273">
        <f>+VLOOKUP(A47,cennik!$A:$G,3,FALSE)</f>
        <v>814.38</v>
      </c>
      <c r="E47" s="273">
        <f>D47*C47</f>
        <v>0</v>
      </c>
      <c r="F47" s="273">
        <f>+E47*(100-$F$2)/100</f>
        <v>0</v>
      </c>
      <c r="G47" s="267" t="str">
        <f>cennik!$B$2</f>
        <v>zł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w sumie (bez VAT)</v>
      </c>
      <c r="D59" s="274"/>
      <c r="E59" s="274"/>
      <c r="F59" s="277" t="e">
        <f>SUM(F4:F47)</f>
        <v>#N/A</v>
      </c>
    </row>
    <row r="60" spans="1:6" x14ac:dyDescent="0.25"/>
    <row r="61" spans="1:6" x14ac:dyDescent="0.25">
      <c r="A61" s="270" t="str">
        <f>texty!A216</f>
        <v>LAKIEROWANIE PROFILI</v>
      </c>
    </row>
    <row r="62" spans="1:6" x14ac:dyDescent="0.25">
      <c r="A62" s="718" t="str">
        <f>texty!A217</f>
        <v>można pomalować na jakikolwiek odcień RAL</v>
      </c>
      <c r="B62" s="718"/>
    </row>
    <row r="63" spans="1:6" x14ac:dyDescent="0.25">
      <c r="A63" s="718" t="str">
        <f>texty!A218</f>
        <v> opcja połysk / matowy (należy wpisać w zamówieniu)</v>
      </c>
      <c r="B63" s="718"/>
    </row>
    <row r="64" spans="1:6" x14ac:dyDescent="0.25">
      <c r="A64" s="718" t="str">
        <f>texty!A219</f>
        <v>ograniczenie do długości maks. 3,85 m</v>
      </c>
      <c r="B64" s="718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4">
        <v>494207</v>
      </c>
      <c r="B76" s="235" t="str">
        <f>+VLOOKUP(A76,cennik!$A:$G,2,FALSE)</f>
        <v>SEVROLL wzornik rączek 2023</v>
      </c>
      <c r="C76" s="278"/>
      <c r="D76" s="273">
        <f>+VLOOKUP(A76,cennik!$A:$G,3,FALSE)</f>
        <v>107.15752000000001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w sumie (bez VAT)</v>
      </c>
      <c r="D78" s="274"/>
      <c r="E78" s="274"/>
      <c r="F78" s="277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2626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2" t="str">
        <f>CONCATENATE(texty!A243," ",7,".",23)</f>
        <v>Katalog Okuć meblowych 2024 str. 7.23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9.5" customHeight="1" x14ac:dyDescent="0.25">
      <c r="A20" s="320"/>
      <c r="B20" s="596" t="str">
        <f>texty!A242</f>
        <v>dylatacja 4 mm</v>
      </c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Tor dolny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górne wózki</v>
      </c>
      <c r="B31" s="15">
        <v>89265</v>
      </c>
      <c r="C31" s="23" t="str">
        <f>+VLOOKUP(B31,cennik!A3:G984,2,FALSE)</f>
        <v>SEVROLL wózek górny 10mm asymetryczny L+P</v>
      </c>
      <c r="D31" s="15">
        <f>IF((D50+D51)&gt;D4,0,D4-(D50+D51))</f>
        <v>0</v>
      </c>
      <c r="E31" s="86">
        <f>+VLOOKUP(B31,cennik!A:G,3,FALSE)</f>
        <v>27.305399999999999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dolne wózki</v>
      </c>
      <c r="B32" s="15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szczotka odbojowa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rączka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śruba łącząca</v>
      </c>
      <c r="B35" s="1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listwa pozioma górna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320" t="str">
        <f>+System10!A36</f>
        <v>listwa pozioma górna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320" t="str">
        <f>+System10!A38</f>
        <v>poziomy dolny profil ramy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320" t="str">
        <f>+System10!A39</f>
        <v>poziomy dolny profil ramy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15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profil łączący H10-3metry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profil łączący H30-3metry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354"/>
      <c r="E55" s="86">
        <f>+VLOOKUP(B55,cennik!A:G,3,FALSE)</f>
        <v>0.80579999999999996</v>
      </c>
      <c r="F55" s="86">
        <f>+E55*D55</f>
        <v>0</v>
      </c>
      <c r="G55" s="87">
        <f>+F55*(100-G26)/100</f>
        <v>0</v>
      </c>
      <c r="H55" s="22" t="str">
        <f>cennik!B2</f>
        <v>zł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zamek do drzwi przesuwnych</v>
      </c>
      <c r="B56" s="15">
        <v>216363</v>
      </c>
      <c r="C56" s="23" t="str">
        <f>+VLOOKUP(B56,cennik!A:G,2,FALSE)</f>
        <v>SEVROLL zamek do drzwi przesuwnych 10/18mm</v>
      </c>
      <c r="D56" s="354"/>
      <c r="E56" s="86">
        <f>+VLOOKUP(B56,cennik!A:G,3,FALSE)</f>
        <v>66.840599999999995</v>
      </c>
      <c r="F56" s="86">
        <f>+E56*D56</f>
        <v>0</v>
      </c>
      <c r="G56" s="87">
        <f>+F56*(100-G26)/100</f>
        <v>0</v>
      </c>
      <c r="H56" s="22" t="str">
        <f>cennik!B2</f>
        <v>zł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15">
        <v>89238</v>
      </c>
      <c r="C61" s="23" t="str">
        <f>+VLOOKUP(B61,cennik!A:G,2,FALSE)</f>
        <v>SEVROLL uszczelka do szkła 10/4 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uszczelka na szkło 4,5mm</v>
      </c>
      <c r="B62" s="15">
        <v>135164</v>
      </c>
      <c r="C62" s="23" t="str">
        <f>+VLOOKUP(B62,cennik!A:G,2,FALSE)</f>
        <v>SEVROLL uszczelka bezbarwna 10/4,5mm</v>
      </c>
      <c r="D62" s="355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22" t="str">
        <f>cennik!B2</f>
        <v>zł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uszczelka na szkło 6mm</v>
      </c>
      <c r="B63" s="15">
        <v>89243</v>
      </c>
      <c r="C63" s="23" t="str">
        <f>+VLOOKUP(B63,cennik!A:G,2,FALSE)</f>
        <v>SEVROLL uszczelka bezbarwna 10/6mm</v>
      </c>
      <c r="D63" s="355"/>
      <c r="E63" s="86">
        <f>+VLOOKUP(B63,cennik!A:G,3,FALSE)</f>
        <v>2.7501000000000002</v>
      </c>
      <c r="F63" s="91">
        <f>+CEILING(D63,1)*E63</f>
        <v>0</v>
      </c>
      <c r="G63" s="87">
        <f>+F63*(100-G26)/100</f>
        <v>0</v>
      </c>
      <c r="H63" s="22" t="str">
        <f>cennik!B2</f>
        <v>zł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70">
        <v>129677</v>
      </c>
      <c r="C65" s="348" t="str">
        <f>VLOOKUP(B65,cennik!A:C,2,0)</f>
        <v>SEVROLL element montażowy do płyty laminowanej 10mm mały</v>
      </c>
      <c r="D65" s="355"/>
      <c r="E65" s="86">
        <f>+VLOOKUP(B65,cennik!A:G,3,FALSE)</f>
        <v>51.590769999999999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0">
        <v>128842</v>
      </c>
      <c r="C66" s="348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>
        <v>68</v>
      </c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data!J15</f>
        <v> biały połysk</v>
      </c>
      <c r="M70" s="19"/>
    </row>
    <row r="71" spans="1:14" ht="12.75" customHeight="1" x14ac:dyDescent="0.25">
      <c r="A71" s="678" t="str">
        <f>IF(N71=1,texty!A215,IF(K71&gt;0,texty!A214,""))</f>
        <v>niektóre elementy nie są produkowane w wybranej długości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L71" s="4" t="str">
        <f>data!J17</f>
        <v> czarny mat</v>
      </c>
      <c r="N71" s="4">
        <f>IF(ISERROR(K71),1,0)</f>
        <v>1</v>
      </c>
    </row>
    <row r="73" spans="1:14" ht="12.75" hidden="1" customHeight="1" x14ac:dyDescent="0.25">
      <c r="L73" s="4" t="str">
        <f>data!J9</f>
        <v>szczot.czarna</v>
      </c>
    </row>
    <row r="74" spans="1:14" ht="12.75" hidden="1" customHeight="1" x14ac:dyDescent="0.25">
      <c r="L74" s="4" t="str">
        <f>data!J15</f>
        <v> biały połysk</v>
      </c>
    </row>
    <row r="75" spans="1:14" ht="12.75" hidden="1" customHeight="1" x14ac:dyDescent="0.25">
      <c r="L75" s="4" t="str">
        <f>data!J16</f>
        <v>czarny połysk</v>
      </c>
    </row>
    <row r="76" spans="1:14" ht="12.75" hidden="1" customHeight="1" x14ac:dyDescent="0.25">
      <c r="L76" s="4" t="str">
        <f>data!J17</f>
        <v> czarny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2624</v>
      </c>
      <c r="B2" s="317" t="str">
        <f>profil!T7</f>
        <v>Klient, , NIP: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2" t="str">
        <f>CONCATENATE(texty!A243," ",7,".",24)</f>
        <v>Katalog Okuć meblowych 2024 str. 7.24</v>
      </c>
      <c r="B3" s="318" t="str">
        <f>CONCATENATE(texty!A34," / max.          2 740 mm /")</f>
        <v>wysokość / max. 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L3" s="22"/>
    </row>
    <row r="4" spans="1:22" ht="18" customHeight="1" x14ac:dyDescent="0.25">
      <c r="A4" s="321" t="str">
        <f>texty!A70</f>
        <v>WEWNĘTRZNY ROZMIAR SZAFY: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należy wybrać bezpieczną szybę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 t="str">
        <f>texty!A242</f>
        <v>dylatacja 4 mm</v>
      </c>
      <c r="C19" s="113"/>
      <c r="D19" s="15"/>
      <c r="E19" s="15"/>
      <c r="F19" s="15"/>
      <c r="G19" s="22"/>
      <c r="H19" s="22"/>
      <c r="I19" s="684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84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partnerska zniżka: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kod</v>
      </c>
      <c r="C27" s="18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H27" s="22"/>
      <c r="I27" s="18" t="str">
        <f>texty!A29</f>
        <v>Uwagi: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Tor górny: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Tor dolny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profil maskujący (maskownica):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dolne wózki</v>
      </c>
      <c r="B32" s="15">
        <f>IF(F4=M70,328321,229441)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rączka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śruba łącząca</v>
      </c>
      <c r="B35" s="22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listwa pozioma górna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listwa pozioma górna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poziomy dolny profil ramy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poziomy dolny profil ramy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Akcesoria:</v>
      </c>
      <c r="B41" s="15"/>
      <c r="D41" s="343" t="str">
        <f>+System10!D41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zł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profil łączący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śruba łącząca</v>
      </c>
      <c r="B53" s="15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>+E53*D53</f>
        <v>0</v>
      </c>
      <c r="G53" s="87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354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Długość uszczelki w przypadku całkowitego zaszklenia (należy zamówić całe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(w przypadku kombinacji z profilami H należy dodać odpowiednią długość - uszczelka musi być na całym obwodzie każdego szkła)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355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22" t="str">
        <f>cennik!B2</f>
        <v>zł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 xml:space="preserve">tutaj można znaleźć inne akcesoria 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rysunek techniczny tego systemu</v>
      </c>
      <c r="B63" s="15">
        <v>129677</v>
      </c>
      <c r="C63" s="348" t="str">
        <f>VLOOKUP(B63,cennik!A:C,2,0)</f>
        <v>SEVROLL element montażowy do płyty laminowanej 10mm mały</v>
      </c>
      <c r="D63" s="355"/>
      <c r="E63" s="86">
        <f>+VLOOKUP(B63,cennik!A:G,3,FALSE)</f>
        <v>51.590769999999999</v>
      </c>
      <c r="F63" s="91">
        <f>+CEILING(D63,1)*E63</f>
        <v>0</v>
      </c>
      <c r="G63" s="87">
        <f>+F63</f>
        <v>0</v>
      </c>
      <c r="H63" s="22" t="str">
        <f>cennik!B2</f>
        <v>zł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wiertło stopniowe 6,5/9,5mm</v>
      </c>
      <c r="D64" s="355"/>
      <c r="E64" s="86">
        <f>+VLOOKUP(B64,cennik!A:G,3,FALSE)</f>
        <v>116.85122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w sumie (bez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zł</v>
      </c>
      <c r="I66" s="19"/>
      <c r="L66" s="22"/>
    </row>
    <row r="67" spans="1:14" ht="12.75" customHeight="1" x14ac:dyDescent="0.25">
      <c r="A67" s="337" t="str">
        <f>System10!A67</f>
        <v>Uwagi</v>
      </c>
      <c r="B67" s="688"/>
      <c r="C67" s="689"/>
      <c r="D67" s="689"/>
      <c r="E67" s="689"/>
      <c r="F67" s="689"/>
      <c r="G67" s="690"/>
      <c r="H67" s="21"/>
      <c r="L67" s="22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  <c r="L68" s="22"/>
    </row>
    <row r="69" spans="1:14" ht="12.75" customHeight="1" x14ac:dyDescent="0.25">
      <c r="A69" s="678" t="str">
        <f>IF(N73=1,texty!A215,IF(K73&gt;0,texty!A214,""))</f>
        <v>niektóre elementy nie są produkowane w wybranej długości</v>
      </c>
      <c r="B69" s="678"/>
      <c r="C69" s="678"/>
      <c r="D69" s="678"/>
      <c r="E69" s="678"/>
      <c r="F69" s="678"/>
      <c r="G69" s="678"/>
      <c r="H69" s="678"/>
      <c r="K69" s="363"/>
    </row>
    <row r="70" spans="1:14" ht="12.75" hidden="1" customHeight="1" x14ac:dyDescent="0.25">
      <c r="I70" s="19"/>
      <c r="J70" s="19"/>
      <c r="L70" s="19" t="str">
        <f>texty!A128</f>
        <v>srebrny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j.brąz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42</v>
      </c>
      <c r="B2" s="317" t="str">
        <f>profil!T7</f>
        <v>Klient, , NIP: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2" t="str">
        <f>CONCATENATE(texty!A243," ",7,".",23)</f>
        <v>Katalog Okuć meblowych 2024 str. 7.23</v>
      </c>
      <c r="B3" s="318" t="str">
        <f>CONCATENATE(texty!A34," / max.          2 740 mm /")</f>
        <v>wysokość / max. 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L3" s="22"/>
    </row>
    <row r="4" spans="1:22" ht="18" customHeight="1" x14ac:dyDescent="0.25">
      <c r="A4" s="321" t="str">
        <f>texty!A70</f>
        <v>WEWNĘTRZNY ROZMIAR SZAFY: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należy wybrać bezpieczną szybę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22"/>
    </row>
    <row r="20" spans="1:22" ht="16.5" customHeight="1" x14ac:dyDescent="0.25">
      <c r="A20" s="320"/>
      <c r="B20" s="596" t="str">
        <f>texty!A242</f>
        <v>dylatacja 4 mm</v>
      </c>
      <c r="C20" s="15"/>
      <c r="E20" s="15"/>
      <c r="F20" s="15"/>
      <c r="G20" s="22"/>
      <c r="H20" s="22"/>
      <c r="I20" s="684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partnerska zniżka: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+System10!B27</f>
        <v>kod</v>
      </c>
      <c r="C27" s="18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H27" s="22"/>
      <c r="I27" s="18" t="str">
        <f>texty!A29</f>
        <v>Uwagi: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Tor górny: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Tor dolny</v>
      </c>
      <c r="B29" s="15" t="str">
        <f>IFERROR((VLOOKUP(M5,data!C4:D88,2,0)),"N/A")</f>
        <v>N/A</v>
      </c>
      <c r="C29" s="23" t="str">
        <f>IF(B29=data!D64,texty!A239,+VLOOKUP(B29,cennik!A3:G9999,2,FALSE))</f>
        <v> w tym kolorze i długości dany profil nie jest produkowany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zł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profil maskujący (maskownica):</v>
      </c>
      <c r="B30" s="15" t="str">
        <f>IFERROR((VLOOKUP(M5,data!C115:D210,2,0)),"N/A")</f>
        <v>N/A</v>
      </c>
      <c r="C30" s="23" t="str">
        <f>IF(B30=data!D64,texty!A239,+VLOOKUP(B30,cennik!A3:G9999,2,FALSE))</f>
        <v> w tym kolorze i długości dany profil nie jest produkowany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zł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dolne wózki</v>
      </c>
      <c r="B32" s="15">
        <f>IF(F4=M70,328321,229441)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rączka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śruba łącząca</v>
      </c>
      <c r="B35" s="22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listwa pozioma górna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listwa pozioma górna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poziomy dolny profil ramy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poziomy dolny profil ramy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Akcesoria:</v>
      </c>
      <c r="B41" s="15"/>
      <c r="D41" s="343" t="str">
        <f>+System10!D41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profil łączący H10-3metry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zł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profil łączący H30-3metry</v>
      </c>
      <c r="B52" s="15" t="str">
        <f>IFERROR((VLOOKUP(P7,data!C508:D515,2,0)),"N/A")</f>
        <v>N/A</v>
      </c>
      <c r="C52" s="23" t="str">
        <f>IF(B52=data!D64,texty!A239,+VLOOKUP(B52,cennik!A3:G9999,2,FALSE))</f>
        <v> w tym kolorze i długości dany profil nie jest produkowany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zł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śruba łącząca</v>
      </c>
      <c r="B53" s="15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>+E53*D53</f>
        <v>0</v>
      </c>
      <c r="G53" s="87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354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Długość uszczelki w przypadku całkowitego zaszklenia (należy zamówić całe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(w przypadku kombinacji z profilami H należy dodać odpowiednią długość - uszczelka musi być na całym obwodzie każdego szkła)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355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22" t="str">
        <f>cennik!B2</f>
        <v>zł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 xml:space="preserve">tutaj można znaleźć inne akcesoria 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rysunek techniczny tego systemu</v>
      </c>
      <c r="B63" s="15">
        <v>129677</v>
      </c>
      <c r="C63" s="468" t="str">
        <f>VLOOKUP(B63,cennik!A:C,2,0)</f>
        <v>SEVROLL element montażowy do płyty laminowanej 10mm mały</v>
      </c>
      <c r="D63" s="355"/>
      <c r="E63" s="86">
        <f>+VLOOKUP(B63,cennik!A:G,3,FALSE)</f>
        <v>51.590769999999999</v>
      </c>
      <c r="F63" s="91">
        <f>+CEILING(D63,1)*E63</f>
        <v>0</v>
      </c>
      <c r="G63" s="87">
        <f>+F63</f>
        <v>0</v>
      </c>
      <c r="H63" s="22" t="str">
        <f>cennik!B2</f>
        <v>zł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68" t="str">
        <f>VLOOKUP(B64,cennik!A:C,2,0)</f>
        <v>SEVROLL wiertło stopniowe 6,5/9,5mm</v>
      </c>
      <c r="D64" s="355"/>
      <c r="E64" s="86">
        <f>+VLOOKUP(B64,cennik!A:G,3,FALSE)</f>
        <v>116.85122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w sumie (bez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zł</v>
      </c>
      <c r="I66" s="19"/>
      <c r="L66" s="22"/>
    </row>
    <row r="67" spans="1:14" ht="12.75" customHeight="1" x14ac:dyDescent="0.25">
      <c r="A67" s="337" t="str">
        <f>System10!A67</f>
        <v>Uwagi</v>
      </c>
      <c r="B67" s="688"/>
      <c r="C67" s="689"/>
      <c r="D67" s="689"/>
      <c r="E67" s="689"/>
      <c r="F67" s="689"/>
      <c r="G67" s="690"/>
      <c r="H67" s="21"/>
      <c r="L67" s="22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  <c r="L68" s="22"/>
    </row>
    <row r="69" spans="1:14" ht="12.75" customHeight="1" x14ac:dyDescent="0.25">
      <c r="A69" s="678" t="str">
        <f>IF(N73=1,texty!A215,IF(K73&gt;0,texty!A214,""))</f>
        <v>niektóre elementy nie są produkowane w wybranej długości</v>
      </c>
      <c r="B69" s="678"/>
      <c r="C69" s="678"/>
      <c r="D69" s="678"/>
      <c r="E69" s="678"/>
      <c r="F69" s="678"/>
      <c r="G69" s="678"/>
      <c r="H69" s="678"/>
      <c r="K69" s="363"/>
    </row>
    <row r="70" spans="1:14" ht="12.75" hidden="1" customHeight="1" x14ac:dyDescent="0.25">
      <c r="I70" s="19"/>
      <c r="J70" s="19"/>
      <c r="K70" s="22">
        <v>70</v>
      </c>
      <c r="L70" s="19" t="str">
        <f>data!J4</f>
        <v>srebrny</v>
      </c>
      <c r="M70" s="19" t="s">
        <v>968</v>
      </c>
    </row>
    <row r="71" spans="1:14" ht="12.75" hidden="1" customHeight="1" x14ac:dyDescent="0.25">
      <c r="I71" s="19"/>
      <c r="J71" s="19"/>
      <c r="L71" s="19" t="str">
        <f>data!J5</f>
        <v>złoty/mosiądz</v>
      </c>
      <c r="M71" s="19" t="s">
        <v>42</v>
      </c>
    </row>
    <row r="72" spans="1:14" ht="12.75" hidden="1" customHeight="1" x14ac:dyDescent="0.25">
      <c r="I72" s="19"/>
      <c r="J72" s="19"/>
      <c r="L72" s="19" t="str">
        <f>data!J6</f>
        <v>j.brąz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 czarny mat</v>
      </c>
      <c r="N73" s="19">
        <f>IF(ISERROR(K73),1,0)</f>
        <v>1</v>
      </c>
    </row>
    <row r="74" spans="1:14" ht="12.75" hidden="1" customHeight="1" x14ac:dyDescent="0.25">
      <c r="L74" s="19" t="str">
        <f>data!J22</f>
        <v>czarny lakier strukturalny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5" t="s">
        <v>6585</v>
      </c>
      <c r="B2" s="317" t="str">
        <f>profil!T7</f>
        <v>Klient, , NIP: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2" t="str">
        <f>CONCATENATE(texty!A243," ",7,".",24)</f>
        <v>Katalog Okuć meblowych 2024 str. 7.24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L3" s="22"/>
    </row>
    <row r="4" spans="1:22" ht="18" customHeight="1" x14ac:dyDescent="0.25">
      <c r="A4" s="321" t="str">
        <f>texty!A70</f>
        <v>WEWNĘTRZNY ROZMIAR SZAFY: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6" t="str">
        <f>texty!A45</f>
        <v>wypełnij 5 pól !!!!! informacje w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należy wybrać bezpieczną szybę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1"/>
      <c r="B15" s="681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08" t="str">
        <f>texty!A242</f>
        <v>dylatacja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partnerska zniżka: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Tor dolny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+System10!A30</f>
        <v>profil maskujący (maskownica):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+System10!A31</f>
        <v>górne wózki</v>
      </c>
      <c r="B31" s="15">
        <v>89265</v>
      </c>
      <c r="C31" s="23" t="str">
        <f>+VLOOKUP(B31,cennik!A:G,2,FALSE)</f>
        <v>SEVROLL wózek górny 10mm asymetryczny L+P</v>
      </c>
      <c r="D31" s="15">
        <f>IF((D49+D50)&gt;D4,0,D4-(D49+D50))</f>
        <v>0</v>
      </c>
      <c r="E31" s="86">
        <f>+VLOOKUP(B31,cennik!A:G,3,FALSE)</f>
        <v>27.305399999999999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+System10!A32</f>
        <v>dolne wózki</v>
      </c>
      <c r="B32" s="15">
        <f>IF(F4=M66,328321,229441)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rączka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śruba łącząca</v>
      </c>
      <c r="B35" s="1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listwa pozioma górna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5">
      <c r="A37" s="320" t="str">
        <f>+System10!A36</f>
        <v>listwa pozioma górna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5">
      <c r="A38" s="320" t="str">
        <f>+System10!A38</f>
        <v>poziomy dolny profil ramy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5">
      <c r="A39" s="320" t="str">
        <f>+System10!A39</f>
        <v>poziomy dolny profil ramy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5">
      <c r="A41" s="325" t="str">
        <f>texty!A66</f>
        <v>Akcesoria:</v>
      </c>
      <c r="B41" s="15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3.74519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zł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profil łączący H30-3metry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śruba łącząca</v>
      </c>
      <c r="B53" s="15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>+E53*D53</f>
        <v>0</v>
      </c>
      <c r="G53" s="87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szczotka przeciwkurzowa</v>
      </c>
      <c r="B54" s="15">
        <v>95946</v>
      </c>
      <c r="C54" s="23" t="str">
        <f>+VLOOKUP(B54,cennik!A:G,2,FALSE)</f>
        <v>SEVROLL szczotka przeciwkurzowa bez kleju 4,8x13 mm, szara</v>
      </c>
      <c r="D54" s="354"/>
      <c r="E54" s="86">
        <f>+VLOOKUP(B54,cennik!A:G,3,FALSE)</f>
        <v>0.80579999999999996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Długość uszczelki w przypadku całkowitego zaszklenia (należy zamówić całe metry)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(w przypadku kombinacji z profilami H należy dodać odpowiednią długość - uszczelka musi być na całym obwodzie każdego szkła)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uszczelka na szkło 4mm</v>
      </c>
      <c r="B60" s="15">
        <v>89238</v>
      </c>
      <c r="C60" s="23" t="str">
        <f>+VLOOKUP(B60,cennik!A:G,2,FALSE)</f>
        <v>SEVROLL uszczelka do szkła 10/4 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uszczelka na szkło 4,5mm</v>
      </c>
      <c r="B61" s="15">
        <v>135164</v>
      </c>
      <c r="C61" s="23" t="str">
        <f>+VLOOKUP(B61,cennik!A:G,2,FALSE)</f>
        <v>SEVROLL uszczelka bezbarwna 10/4,5mm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uszczelka na szkło 6mm</v>
      </c>
      <c r="B62" s="15">
        <v>89243</v>
      </c>
      <c r="C62" s="23" t="str">
        <f>+VLOOKUP(B62,cennik!A:G,2,FALSE)</f>
        <v>SEVROLL uszczelka bezbarwna 10/6mm</v>
      </c>
      <c r="D62" s="355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22" t="str">
        <f>cennik!B2</f>
        <v>zł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 xml:space="preserve">tutaj można znaleźć inne akcesoria 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rysunek techniczny tego systemu</v>
      </c>
      <c r="B64" s="471">
        <v>129677</v>
      </c>
      <c r="C64" s="348" t="str">
        <f>VLOOKUP(B64,cennik!A:C,2,0)</f>
        <v>SEVROLL element montażowy do płyty laminowanej 10mm mały</v>
      </c>
      <c r="D64" s="355"/>
      <c r="E64" s="86">
        <f>+VLOOKUP(B64,cennik!A:G,3,FALSE)</f>
        <v>51.590769999999999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1">
        <v>128842</v>
      </c>
      <c r="C65" s="348" t="str">
        <f>VLOOKUP(B65,cennik!A:C,2,0)</f>
        <v>SEVROLL wiertło stopniowe 6,5/9,5mm</v>
      </c>
      <c r="D65" s="355"/>
      <c r="E65" s="86">
        <f>+VLOOKUP(B65,cennik!A:G,3,FALSE)</f>
        <v>116.85122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83" t="str">
        <f>IF(SUM(D49:D50)&gt;0,IF(C7&lt;(B4/3),texty!A212,""),"")</f>
        <v/>
      </c>
      <c r="B66" s="683"/>
      <c r="C66" s="683"/>
      <c r="D66" s="683"/>
      <c r="E66" s="683"/>
      <c r="F66" s="683"/>
      <c r="G66" s="683"/>
      <c r="H66" s="683"/>
      <c r="I66" s="683"/>
      <c r="J66" s="349"/>
      <c r="K66" s="363">
        <v>66</v>
      </c>
      <c r="L66" s="19" t="str">
        <f>texty!A128</f>
        <v>srebrny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w sumie (bez VAT)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zł</v>
      </c>
      <c r="L67" s="19" t="str">
        <f>texty!A130</f>
        <v>j.brąz</v>
      </c>
      <c r="M67" s="19" t="s">
        <v>42</v>
      </c>
    </row>
    <row r="68" spans="1:14" ht="12.75" customHeight="1" x14ac:dyDescent="0.25">
      <c r="A68" s="337" t="str">
        <f>System10!A67</f>
        <v>Uwagi</v>
      </c>
      <c r="B68" s="688"/>
      <c r="C68" s="689"/>
      <c r="D68" s="689"/>
      <c r="E68" s="689"/>
      <c r="F68" s="689"/>
      <c r="G68" s="690"/>
      <c r="H68" s="22"/>
    </row>
    <row r="69" spans="1:14" ht="12.75" customHeight="1" x14ac:dyDescent="0.25">
      <c r="A69" s="687" t="str">
        <f>profil!U15</f>
        <v/>
      </c>
      <c r="B69" s="677"/>
      <c r="C69" s="677"/>
      <c r="D69" s="677"/>
      <c r="E69" s="677"/>
      <c r="F69" s="677"/>
      <c r="G69" s="677"/>
      <c r="H69" s="677"/>
      <c r="L69" s="22"/>
    </row>
    <row r="70" spans="1:14" ht="12.75" customHeight="1" x14ac:dyDescent="0.25">
      <c r="A70" s="678" t="str">
        <f>IF(N70=1,texty!A215,IF(K70&gt;0,texty!A214,""))</f>
        <v>niektóre elementy nie są produkowane w wybranej długości</v>
      </c>
      <c r="B70" s="678"/>
      <c r="C70" s="678"/>
      <c r="D70" s="678"/>
      <c r="E70" s="678"/>
      <c r="F70" s="678"/>
      <c r="G70" s="678"/>
      <c r="H70" s="678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3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1700-srebrny, Elegant II</v>
      </c>
      <c r="D4" s="49">
        <v>84385</v>
      </c>
      <c r="E4" s="48" t="str">
        <f>+VLOOKUP(A4,cennik!A:G,2,FALSE)</f>
        <v>SEVROLL Elegant II tor dolny 1,7m srebrny</v>
      </c>
      <c r="F4" s="48" t="str">
        <f>+VLOOKUP(A4,cennik!A:B,2,FALSE)</f>
        <v>SEVROLL Elegant II tor dolny 1,7m srebrny</v>
      </c>
      <c r="G4" s="1" t="e">
        <f>+VLOOKUP(A4,#REF!,4,FALSE)</f>
        <v>#REF!</v>
      </c>
      <c r="H4" s="1" t="s">
        <v>464</v>
      </c>
      <c r="I4" s="1" t="str">
        <f>CONCATENATE(H4,"-",J4,", ",J19)</f>
        <v>1700-srebrny, Elegant II</v>
      </c>
      <c r="J4" s="1" t="str">
        <f>IF($J$1=1,K4,IF($J$1=2,N4,IF($J$1=3,M4,IF($J$1=4,L4,IF($J$1=5,O4,IF($J$1=6,P4,IF($J$1=7,Q4,"zadat jazyk")))))))</f>
        <v>srebrny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2350-srebrny, Elegant II</v>
      </c>
      <c r="D5" s="49">
        <v>84388</v>
      </c>
      <c r="E5" s="48" t="str">
        <f>+VLOOKUP(A5,cennik!A:G,2,FALSE)</f>
        <v>SEVROLL Elegant II tor dolny 2,35m srebrny</v>
      </c>
      <c r="F5" s="48" t="str">
        <f>+VLOOKUP(A5,cennik!A:B,2,FALSE)</f>
        <v>SEVROLL Elegant II tor dolny 2,35m srebrny</v>
      </c>
      <c r="G5" s="1" t="e">
        <f>+VLOOKUP(A5,#REF!,4,FALSE)</f>
        <v>#REF!</v>
      </c>
      <c r="H5" s="1" t="s">
        <v>465</v>
      </c>
      <c r="I5" s="1" t="str">
        <f>CONCATENATE(H5,"-",J4,", ",J19)</f>
        <v>2350-srebrny, Elegant II</v>
      </c>
      <c r="J5" s="1" t="str">
        <f>IF($J$1=1,K5,IF($J$1=2,N5,IF($J$1=3,M5,IF($J$1=4,L5,IF($J$1=5,O5,IF($J$1=6,P5,IF($J$1=7,Q5,"zadat jazyk")))))))</f>
        <v>złoty/mosiądz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3000-srebrny, Elegant II</v>
      </c>
      <c r="D6" s="49">
        <v>84391</v>
      </c>
      <c r="E6" s="48" t="str">
        <f>+VLOOKUP(A6,cennik!A:G,2,FALSE)</f>
        <v>SEVROLL Elegant II tor dolny 3m srebrny</v>
      </c>
      <c r="F6" s="48" t="str">
        <f>+VLOOKUP(A6,cennik!A:B,2,FALSE)</f>
        <v>SEVROLL Elegant II tor dolny 3m srebrny</v>
      </c>
      <c r="G6" s="1" t="e">
        <f>+VLOOKUP(A6,#REF!,4,FALSE)</f>
        <v>#REF!</v>
      </c>
      <c r="H6" s="1" t="s">
        <v>466</v>
      </c>
      <c r="I6" s="1" t="str">
        <f>CONCATENATE(H6,"-",J4,", ",J19)</f>
        <v>3000-srebrny, Elegant II</v>
      </c>
      <c r="J6" s="1" t="str">
        <f t="shared" ref="J6:J9" si="1">IF($J$1=1,K6,IF($J$1=2,N6,IF($J$1=3,M6,IF($J$1=4,L6,IF($J$1=5,O6,IF($J$1=6,P6,IF($J$1=7,Q6,"zadat jazyk")))))))</f>
        <v>j.brąz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4050-srebrny, Elegant II</v>
      </c>
      <c r="D7" s="49">
        <v>84394</v>
      </c>
      <c r="E7" s="48" t="str">
        <f>+VLOOKUP(A7,cennik!A:G,2,FALSE)</f>
        <v>SEVROLL Elegant II tor dolny 4,05m srebrny</v>
      </c>
      <c r="F7" s="48" t="str">
        <f>+VLOOKUP(A7,cennik!A:B,2,FALSE)</f>
        <v>SEVROLL Elegant II tor dolny 4,05m srebrny</v>
      </c>
      <c r="G7" s="1" t="e">
        <f>+VLOOKUP(A7,#REF!,4,FALSE)</f>
        <v>#REF!</v>
      </c>
      <c r="H7" s="1" t="s">
        <v>467</v>
      </c>
      <c r="I7" s="1" t="str">
        <f>CONCATENATE(H7,"-",J4,", ",J19)</f>
        <v>4050-srebrny, Elegant II</v>
      </c>
      <c r="J7" s="1" t="str">
        <f t="shared" si="1"/>
        <v>j.brąz szczotkowany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6000-srebrny, Elegant II</v>
      </c>
      <c r="D8" s="49">
        <v>350687</v>
      </c>
      <c r="E8" s="48" t="str">
        <f>+VLOOKUP(A8,cennik!A:G,2,FALSE)</f>
        <v>SEVROLL Elegant II tor dolny 6m, srebrny</v>
      </c>
      <c r="F8" s="48" t="str">
        <f>+VLOOKUP(A8,cennik!A:B,2,FALSE)</f>
        <v>SEVROLL Elegant II tor dolny 6m, srebrny</v>
      </c>
      <c r="G8" s="1" t="e">
        <f>+VLOOKUP(A8,#REF!,4,FALSE)</f>
        <v>#REF!</v>
      </c>
      <c r="H8" s="144" t="s">
        <v>536</v>
      </c>
      <c r="I8" s="1" t="str">
        <f>CONCATENATE(H8,"-",J4,", ",J19)</f>
        <v>6000-srebrny, Elegant II</v>
      </c>
      <c r="J8" s="1" t="str">
        <f t="shared" si="1"/>
        <v>szczot.oliwa ciemna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542698</v>
      </c>
      <c r="B9" s="48"/>
      <c r="C9" s="1" t="str">
        <f>CONCATENATE(H9,"-",J5,", ",J19)</f>
        <v>1700-złoty/mosiądz, Elegant II</v>
      </c>
      <c r="D9" s="2">
        <v>542698</v>
      </c>
      <c r="E9" s="48" t="str">
        <f>+VLOOKUP(A9,cennik!A:G,2,FALSE)</f>
        <v>SEVROLL 06795 Elegant II tor dolny 1,7m złoty/mosiądz</v>
      </c>
      <c r="F9" s="48" t="str">
        <f>+VLOOKUP(A9,cennik!A:B,2,FALSE)</f>
        <v>SEVROLL 06795 Elegant II tor dolny 1,7m złoty/mosiądz</v>
      </c>
      <c r="G9" s="1" t="e">
        <f>+VLOOKUP(A9,#REF!,4,FALSE)</f>
        <v>#REF!</v>
      </c>
      <c r="H9" s="1" t="s">
        <v>464</v>
      </c>
      <c r="I9" s="1" t="str">
        <f>CONCATENATE(H9,"-",J5,", ",J19)</f>
        <v>1700-złoty/mosiądz, Elegant II</v>
      </c>
      <c r="J9" s="1" t="str">
        <f t="shared" si="1"/>
        <v>szczot.czarna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542700</v>
      </c>
      <c r="B10" s="48"/>
      <c r="C10" s="1" t="str">
        <f>CONCATENATE(H10,"-",J5,", ",J19)</f>
        <v>2350-złoty/mosiądz, Elegant II</v>
      </c>
      <c r="D10" s="49">
        <v>542700</v>
      </c>
      <c r="E10" s="48" t="str">
        <f>+VLOOKUP(A10,cennik!A:G,2,FALSE)</f>
        <v>SEVROLL 06796 Elegant II tor dolny 2,35m złoty/mosiądz</v>
      </c>
      <c r="F10" s="48" t="str">
        <f>+VLOOKUP(A10,cennik!A:B,2,FALSE)</f>
        <v>SEVROLL 06796 Elegant II tor dolny 2,35m złoty/mosiądz</v>
      </c>
      <c r="G10" s="1" t="e">
        <f>+VLOOKUP(A10,#REF!,4,FALSE)</f>
        <v>#REF!</v>
      </c>
      <c r="H10" s="1" t="s">
        <v>465</v>
      </c>
      <c r="I10" s="1" t="str">
        <f>CONCATENATE(H10,"-",J5,", ",J19)</f>
        <v>2350-złoty/mosiądz,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542591</v>
      </c>
      <c r="B11" s="48"/>
      <c r="C11" s="1" t="str">
        <f>CONCATENATE(H11,"-",J5,", ",J19)</f>
        <v>3000-złoty/mosiądz, Elegant II</v>
      </c>
      <c r="D11" s="49">
        <v>542591</v>
      </c>
      <c r="E11" s="48" t="str">
        <f>+VLOOKUP(A11,cennik!A:G,2,FALSE)</f>
        <v>SEVROLL 06797 Elegant II tor dolny 3m złoty/mosiądz</v>
      </c>
      <c r="F11" s="48" t="str">
        <f>+VLOOKUP(A11,cennik!A:B,2,FALSE)</f>
        <v>SEVROLL 06797 Elegant II tor dolny 3m złoty/mosiądz</v>
      </c>
      <c r="G11" s="1" t="e">
        <f>+VLOOKUP(A11,#REF!,4,FALSE)</f>
        <v>#REF!</v>
      </c>
      <c r="H11" s="1" t="s">
        <v>466</v>
      </c>
      <c r="I11" s="1" t="str">
        <f>CONCATENATE(H11,"-",J5,", ",J19)</f>
        <v>3000-złoty/mosiądz,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542576</v>
      </c>
      <c r="B12" s="48"/>
      <c r="C12" s="1" t="str">
        <f>CONCATENATE(H12,"-",J5,", ",J19)</f>
        <v>4050-złoty/mosiądz, Elegant II</v>
      </c>
      <c r="D12" s="49">
        <v>542576</v>
      </c>
      <c r="E12" s="48" t="str">
        <f>+VLOOKUP(A12,cennik!A:G,2,FALSE)</f>
        <v>SEVROLL 06798 Elegant II tor dolny 4,05m złoty/mosiądz</v>
      </c>
      <c r="F12" s="48" t="str">
        <f>+VLOOKUP(A12,cennik!A:B,2,FALSE)</f>
        <v>SEVROLL 06798 Elegant II tor dolny 4,05m złoty/mosiądz</v>
      </c>
      <c r="G12" s="1" t="e">
        <f>+VLOOKUP(A12,#REF!,4,FALSE)</f>
        <v>#REF!</v>
      </c>
      <c r="H12" s="1" t="s">
        <v>467</v>
      </c>
      <c r="I12" s="1" t="str">
        <f>CONCATENATE(H12,"-",J5,", ",J19)</f>
        <v>4050-złoty/mosiądz,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542688</v>
      </c>
      <c r="B13" s="48"/>
      <c r="C13" s="1" t="str">
        <f>CONCATENATE(H13,"-",J5,", ",J19)</f>
        <v>6000-złoty/mosiądz, Elegant II</v>
      </c>
      <c r="D13" s="49">
        <v>542688</v>
      </c>
      <c r="E13" s="48" t="str">
        <f>+VLOOKUP(A13,cennik!A:G,2,FALSE)</f>
        <v>SEVROLL 06799 Elegant II tor dolny 6m złoty/mosiądz</v>
      </c>
      <c r="F13" s="48" t="str">
        <f>+VLOOKUP(A13,cennik!A:B,2,FALSE)</f>
        <v>SEVROLL 06799 Elegant II tor dolny 6m złoty/mosiądz</v>
      </c>
      <c r="H13" s="1">
        <v>6000</v>
      </c>
      <c r="I13" s="1" t="str">
        <f>CONCATENATE(H13,"-",J5,", ",J19)</f>
        <v>6000-złoty/mosiądz, Elegant II</v>
      </c>
      <c r="J13" s="1" t="str">
        <f t="shared" ref="J13:J18" si="3">IF($J$1=1,K13,IF($J$1=2,N13,IF($J$1=3,M13,IF($J$1=4,L13,IF($J$1=5,O13,IF($J$1=6,P13,IF($J$1=7,Q13,"zadat jazyk")))))))</f>
        <v>szczot.czarna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1700-j.brąz, Elegant II</v>
      </c>
      <c r="D14" s="49">
        <v>318666</v>
      </c>
      <c r="E14" s="48" t="str">
        <f>+VLOOKUP(A14,cennik!A:G,2,FALSE)</f>
        <v>SEVROLL Elegant II tor dolny 1,7 m, jasny brąz</v>
      </c>
      <c r="F14" s="48" t="str">
        <f>+VLOOKUP(A14,cennik!A:B,2,FALSE)</f>
        <v>SEVROLL Elegant II tor dolny 1,7 m, jasny brąz</v>
      </c>
      <c r="G14" s="1" t="e">
        <f>+VLOOKUP(A14,#REF!,4,FALSE)</f>
        <v>#REF!</v>
      </c>
      <c r="H14" s="1" t="s">
        <v>464</v>
      </c>
      <c r="I14" s="1" t="str">
        <f>CONCATENATE(H14,"-",J6,", ",J19)</f>
        <v>1700-j.brąz, Elegant II</v>
      </c>
      <c r="J14" s="1" t="str">
        <f t="shared" si="3"/>
        <v>szczot.oliwa ciemna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2350-j.brąz, Elegant II</v>
      </c>
      <c r="D15" s="49">
        <v>84387</v>
      </c>
      <c r="E15" s="48" t="str">
        <f>+VLOOKUP(A15,cennik!A:G,2,FALSE)</f>
        <v>SEVROLL Elegant II tor dolny 2,35m jasny brąz</v>
      </c>
      <c r="F15" s="48" t="str">
        <f>+VLOOKUP(A15,cennik!A:B,2,FALSE)</f>
        <v>SEVROLL Elegant II tor dolny 2,35m jasny brąz</v>
      </c>
      <c r="G15" s="1" t="e">
        <f>+VLOOKUP(A15,#REF!,4,FALSE)</f>
        <v>#REF!</v>
      </c>
      <c r="H15" s="1" t="s">
        <v>465</v>
      </c>
      <c r="I15" s="1" t="str">
        <f>CONCATENATE(H15,"-",J6,", ",J19)</f>
        <v>2350-j.brąz, Elegant II</v>
      </c>
      <c r="J15" s="1" t="str">
        <f t="shared" si="3"/>
        <v> biały połysk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3000-j.brąz, Elegant II</v>
      </c>
      <c r="D16" s="49">
        <v>84390</v>
      </c>
      <c r="E16" s="48" t="str">
        <f>+VLOOKUP(A16,cennik!A:G,2,FALSE)</f>
        <v>SEVROLL Elegant II tor dolny 3m jasny brąz</v>
      </c>
      <c r="F16" s="48" t="str">
        <f>+VLOOKUP(A16,cennik!A:B,2,FALSE)</f>
        <v>SEVROLL Elegant II tor dolny 3m jasny brąz</v>
      </c>
      <c r="G16" s="1" t="e">
        <f>+VLOOKUP(A16,#REF!,4,FALSE)</f>
        <v>#REF!</v>
      </c>
      <c r="H16" s="1" t="s">
        <v>466</v>
      </c>
      <c r="I16" s="1" t="str">
        <f>CONCATENATE(H16,"-",J6,", ",J19)</f>
        <v>3000-j.brąz, Elegant II</v>
      </c>
      <c r="J16" s="1" t="str">
        <f t="shared" si="3"/>
        <v>czarny połysk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4050-j.brąz, Elegant II</v>
      </c>
      <c r="D17" s="49">
        <v>84393</v>
      </c>
      <c r="E17" s="48" t="str">
        <f>+VLOOKUP(A17,cennik!A:G,2,FALSE)</f>
        <v>SEVROLL Elegant II tor dolny 4,05m jasny brąz</v>
      </c>
      <c r="F17" s="48" t="str">
        <f>+VLOOKUP(A17,cennik!A:B,2,FALSE)</f>
        <v>SEVROLL Elegant II tor dolny 4,05m jasny brąz</v>
      </c>
      <c r="G17" s="1" t="e">
        <f>+VLOOKUP(A17,#REF!,4,FALSE)</f>
        <v>#REF!</v>
      </c>
      <c r="H17" s="1" t="s">
        <v>467</v>
      </c>
      <c r="I17" s="1" t="str">
        <f>CONCATENATE(H17,"-",J6,", ",J19)</f>
        <v>4050-j.brąz, Elegant II</v>
      </c>
      <c r="J17" s="1" t="str">
        <f t="shared" si="3"/>
        <v> czarny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6000-j.brąz, Elegant II</v>
      </c>
      <c r="D18" s="49">
        <v>350688</v>
      </c>
      <c r="E18" s="48" t="str">
        <f>+VLOOKUP(A18,cennik!A:G,2,FALSE)</f>
        <v>SEVROLL Elegant II tor dolny 6m, jasny brąz</v>
      </c>
      <c r="F18" s="48" t="str">
        <f>+VLOOKUP(A18,cennik!A:B,2,FALSE)</f>
        <v>SEVROLL Elegant II tor dolny 6m, jasny brąz</v>
      </c>
      <c r="H18" s="1">
        <v>6000</v>
      </c>
      <c r="I18" s="1" t="str">
        <f>CONCATENATE(H18,"-",J6,", ",J19)</f>
        <v>6000-j.brąz, Elegant II</v>
      </c>
      <c r="J18" s="1" t="str">
        <f t="shared" si="3"/>
        <v>biały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 biały połysk, Elegant II</v>
      </c>
      <c r="D19" s="49">
        <v>276744</v>
      </c>
      <c r="E19" s="48" t="str">
        <f>+VLOOKUP(A19,cennik!A:G,2,FALSE)</f>
        <v>SEVROLL Elegant II tor dolny 1,7 m, biały połysk</v>
      </c>
      <c r="F19" s="48" t="str">
        <f>+VLOOKUP(A19,cennik!A:B,2,FALSE)</f>
        <v>SEVROLL Elegant II tor dolny 1,7 m, biały połysk</v>
      </c>
      <c r="H19" s="1">
        <v>1700</v>
      </c>
      <c r="I19" s="1" t="str">
        <f>CONCATENATE(H19,"-",J15,", ",J19)</f>
        <v>1700- biały połysk,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 biały połysk, Elegant II</v>
      </c>
      <c r="D20" s="49">
        <v>276745</v>
      </c>
      <c r="E20" s="48" t="str">
        <f>+VLOOKUP(A20,cennik!A:G,2,FALSE)</f>
        <v>SEVROLL Elegant II tor dolny 2,35 m, biały połysk</v>
      </c>
      <c r="F20" s="48" t="str">
        <f>+VLOOKUP(A20,cennik!A:B,2,FALSE)</f>
        <v>SEVROLL Elegant II tor dolny 2,35 m, biały połysk</v>
      </c>
      <c r="H20" s="1">
        <v>2350</v>
      </c>
      <c r="I20" s="1" t="str">
        <f>CONCATENATE(H20,"-",J15,", ",J19)</f>
        <v>2350- biały połysk,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 biały połysk, Elegant II</v>
      </c>
      <c r="D21" s="49">
        <v>252568</v>
      </c>
      <c r="E21" s="48" t="str">
        <f>+VLOOKUP(A21,cennik!A:G,2,FALSE)</f>
        <v>SEVROLL Elegant II tor dolny 3 m, biały połysk</v>
      </c>
      <c r="F21" s="48" t="str">
        <f>+VLOOKUP(A21,cennik!A:B,2,FALSE)</f>
        <v>SEVROLL Elegant II tor dolny 3 m, biały połysk</v>
      </c>
      <c r="H21" s="1">
        <v>3000</v>
      </c>
      <c r="I21" s="1" t="str">
        <f>CONCATENATE(H21,"-",J15,", ",J19)</f>
        <v>3000- biały połysk,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 biały połysk, Elegant II</v>
      </c>
      <c r="D22" s="49">
        <v>276746</v>
      </c>
      <c r="E22" s="48" t="str">
        <f>+VLOOKUP(A22,cennik!A:G,2,FALSE)</f>
        <v>SEVROLL Elegant II tor dolny 4,05 m, biały połysk</v>
      </c>
      <c r="F22" s="48" t="str">
        <f>+VLOOKUP(A22,cennik!A:B,2,FALSE)</f>
        <v>SEVROLL Elegant II tor dolny 4,05 m, biały połysk</v>
      </c>
      <c r="H22" s="1">
        <v>4050</v>
      </c>
      <c r="I22" s="1" t="str">
        <f>CONCATENATE(H22,"-",J15,", ",J19)</f>
        <v>4050- biały połysk, Elegant II</v>
      </c>
      <c r="J22" s="1" t="str">
        <f>IF($J$1=1,K22,IF($J$1=2,N22,IF($J$1=3,M22,IF($J$1=4,L22,IF($J$1=5,O22,IF($J$1=6,P22,IF($J$1=7,Q22,"zadat jazyk")))))))</f>
        <v>czarny lakier strukturalny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 biały połysk, Elegant II</v>
      </c>
      <c r="D23" s="49">
        <v>308645</v>
      </c>
      <c r="E23" s="48" t="str">
        <f>+VLOOKUP(A23,cennik!A:G,2,FALSE)</f>
        <v>SEVROLL Elegant II tor dolny 6m biały połysk</v>
      </c>
      <c r="F23" s="48" t="str">
        <f>+VLOOKUP(A23,cennik!A:B,2,FALSE)</f>
        <v>SEVROLL Elegant II tor dolny 6m biały połysk</v>
      </c>
      <c r="H23" s="1">
        <v>6000</v>
      </c>
      <c r="I23" s="1" t="str">
        <f>CONCATENATE(H23,"-",J15,", ",J19)</f>
        <v>6000- biały połysk,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1700-j.brąz szczotkowany, Elegant II</v>
      </c>
      <c r="D24" s="49">
        <v>120868</v>
      </c>
      <c r="E24" s="48" t="str">
        <f>+VLOOKUP(A24,cennik!A:G,2,FALSE)</f>
        <v>SEVROLL 04333-Y Elegant II tor dolny 1,7 m, jasny brąz szczotkowany</v>
      </c>
      <c r="F24" s="48" t="str">
        <f>+VLOOKUP(A24,cennik!A:B,2,FALSE)</f>
        <v>SEVROLL 04333-Y Elegant II tor dolny 1,7 m, jasny brąz szczotkowany</v>
      </c>
      <c r="H24" s="1">
        <v>1700</v>
      </c>
      <c r="I24" s="1" t="str">
        <f>CONCATENATE(H24,"-",J7,", ",J19)</f>
        <v>1700-j.brąz szczotkowany,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2350-j.brąz szczotkowany, Elegant II</v>
      </c>
      <c r="D25" s="49">
        <v>120869</v>
      </c>
      <c r="E25" s="48" t="str">
        <f>+VLOOKUP(A25,cennik!A:G,2,FALSE)</f>
        <v>SEVROLL 04334-Y Elegant II tor dolny 2,35 m, jasny brąz szczotkowany</v>
      </c>
      <c r="F25" s="48" t="str">
        <f>+VLOOKUP(A25,cennik!A:B,2,FALSE)</f>
        <v>SEVROLL 04334-Y Elegant II tor dolny 2,35 m, jasny brąz szczotkowany</v>
      </c>
      <c r="H25" s="1">
        <v>2350</v>
      </c>
      <c r="I25" s="1" t="str">
        <f>CONCATENATE(H25,"-",J7,", ",J19)</f>
        <v>2350-j.brąz szczotkowany,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3000-j.brąz szczotkowany, Elegant II</v>
      </c>
      <c r="D26" s="49">
        <v>120870</v>
      </c>
      <c r="E26" s="48" t="str">
        <f>+VLOOKUP(A26,cennik!A:G,2,FALSE)</f>
        <v>SEVROLL 04335-Y Elegant II tor dolny 3 m, jasny brąz szczotkowany</v>
      </c>
      <c r="F26" s="48" t="str">
        <f>+VLOOKUP(A26,cennik!A:B,2,FALSE)</f>
        <v>SEVROLL 04335-Y Elegant II tor dolny 3 m, jasny brąz szczotkowany</v>
      </c>
      <c r="H26" s="1">
        <v>3000</v>
      </c>
      <c r="I26" s="1" t="str">
        <f>CONCATENATE(H26,"-",J7,", ",J19)</f>
        <v>3000-j.brąz szczotkowany,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4050-j.brąz szczotkowany, Elegant II</v>
      </c>
      <c r="D27" s="49">
        <v>120871</v>
      </c>
      <c r="E27" s="48" t="str">
        <f>+VLOOKUP(A27,cennik!A:G,2,FALSE)</f>
        <v>SEVROLL 04336-Y Elegant II tor dolny 4,05 m, jasny brąz szczotkowany</v>
      </c>
      <c r="F27" s="48" t="str">
        <f>+VLOOKUP(A27,cennik!A:B,2,FALSE)</f>
        <v>SEVROLL 04336-Y Elegant II tor dolny 4,05 m, jasny brąz szczotkowany</v>
      </c>
      <c r="H27" s="1">
        <v>4050</v>
      </c>
      <c r="I27" s="1" t="str">
        <f>CONCATENATE(H27,"-",J7,", ",J19)</f>
        <v>4050-j.brąz szczotkowany,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6000-j.brąz szczotkowany, Elegant II</v>
      </c>
      <c r="D28" s="49">
        <v>225367</v>
      </c>
      <c r="E28" s="48" t="str">
        <f>+VLOOKUP(A28,cennik!A:G,2,FALSE)</f>
        <v>SEVROLL Elegant II tor dolny 6m jasny brąz szczotkowany</v>
      </c>
      <c r="F28" s="48" t="str">
        <f>+VLOOKUP(A28,cennik!A:B,2,FALSE)</f>
        <v>SEVROLL Elegant II tor dolny 6m jasny brąz szczotkowany</v>
      </c>
      <c r="H28" s="1">
        <v>6000</v>
      </c>
      <c r="I28" s="1" t="str">
        <f>CONCATENATE(H28,"-",J7,", ",J19)</f>
        <v>6000-j.brąz szczotkowany,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1700-szczot.oliwa ciemna, Elegant II</v>
      </c>
      <c r="D29" s="49">
        <v>205089</v>
      </c>
      <c r="E29" s="48" t="str">
        <f>+VLOOKUP(A29,cennik!A:G,2,FALSE)</f>
        <v>SEVROLL Elegant II tor dolny 1,7m koniak szczotkowany</v>
      </c>
      <c r="F29" s="48" t="str">
        <f>+VLOOKUP(A29,cennik!A:B,2,FALSE)</f>
        <v>SEVROLL Elegant II tor dolny 1,7m koniak szczotkowany</v>
      </c>
      <c r="H29" s="1">
        <v>1700</v>
      </c>
      <c r="I29" s="1" t="str">
        <f>CONCATENATE(H29,"-",J8,", ",J19)</f>
        <v>1700-szczot.oliwa ciemna,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2350-szczot.oliwa ciemna, Elegant II</v>
      </c>
      <c r="D30" s="49">
        <v>205078</v>
      </c>
      <c r="E30" s="48" t="str">
        <f>+VLOOKUP(A30,cennik!A:G,2,FALSE)</f>
        <v>SEVROLL Elegant II tor dolny 2,35m koniak szczotkowany</v>
      </c>
      <c r="F30" s="48" t="str">
        <f>+VLOOKUP(A30,cennik!A:B,2,FALSE)</f>
        <v>SEVROLL Elegant II tor dolny 2,35m koniak szczotkowany</v>
      </c>
      <c r="H30" s="1">
        <v>2350</v>
      </c>
      <c r="I30" s="1" t="str">
        <f>CONCATENATE(H30,"-",J8,", ",J19)</f>
        <v>2350-szczot.oliwa ciemna,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3000-szczot.oliwa ciemna, Elegant II</v>
      </c>
      <c r="D31" s="49">
        <v>205098</v>
      </c>
      <c r="E31" s="48" t="str">
        <f>+VLOOKUP(A31,cennik!A:G,2,FALSE)</f>
        <v>SEVROLL Elegant II tor dolny 3m koniak szczotkowany</v>
      </c>
      <c r="F31" s="48" t="str">
        <f>+VLOOKUP(A31,cennik!A:B,2,FALSE)</f>
        <v>SEVROLL Elegant II tor dolny 3m koniak szczotkowany</v>
      </c>
      <c r="H31" s="1">
        <v>3000</v>
      </c>
      <c r="I31" s="1" t="str">
        <f>CONCATENATE(H31,"-",J8,", ",J19)</f>
        <v>3000-szczot.oliwa ciemna,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4050-szczot.oliwa ciemna, Elegant II</v>
      </c>
      <c r="D32" s="49">
        <v>205087</v>
      </c>
      <c r="E32" s="48" t="str">
        <f>+VLOOKUP(A32,cennik!A:G,2,FALSE)</f>
        <v>SEVROLL Elegant II tor dolny 4,05m koniak szczotkowany</v>
      </c>
      <c r="F32" s="48" t="str">
        <f>+VLOOKUP(A32,cennik!A:B,2,FALSE)</f>
        <v>SEVROLL Elegant II tor dolny 4,05m koniak szczotkowany</v>
      </c>
      <c r="H32" s="1">
        <v>4050</v>
      </c>
      <c r="I32" s="1" t="str">
        <f>CONCATENATE(H32,"-",J8,", ",J19)</f>
        <v>4050-szczot.oliwa ciemna,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6000-szczot.oliwa ciemna, Elegant II</v>
      </c>
      <c r="D33" s="49">
        <v>225368</v>
      </c>
      <c r="E33" s="48" t="str">
        <f>+VLOOKUP(A33,cennik!A:G,2,FALSE)</f>
        <v>SEVROLL Elegant II tor dolny 6m koniak szczotkowany</v>
      </c>
      <c r="F33" s="48" t="str">
        <f>+VLOOKUP(A33,cennik!A:B,2,FALSE)</f>
        <v>SEVROLL Elegant II tor dolny 6m koniak szczotkowany</v>
      </c>
      <c r="H33" s="1">
        <v>6000</v>
      </c>
      <c r="I33" s="1" t="str">
        <f>CONCATENATE(H33,"-",J8,", ",J19)</f>
        <v>6000-szczot.oliwa ciemna,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1700-szczot.czarna, Elegant II</v>
      </c>
      <c r="D34" s="49">
        <v>205090</v>
      </c>
      <c r="E34" s="48" t="str">
        <f>+VLOOKUP(A34,cennik!A:G,2,FALSE)</f>
        <v>SEVROLL Elegant II tor dolny 1,7 m czarny szczotkowany</v>
      </c>
      <c r="F34" s="48" t="str">
        <f>+VLOOKUP(A34,cennik!A:B,2,FALSE)</f>
        <v>SEVROLL Elegant II tor dolny 1,7 m czarny szczotkowany</v>
      </c>
      <c r="H34" s="1">
        <v>1700</v>
      </c>
      <c r="I34" s="1" t="str">
        <f>CONCATENATE(H34,"-",J9,", ",J19)</f>
        <v>1700-szczot.czarna,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2350-szczot.czarna, Elegant II</v>
      </c>
      <c r="D35" s="49">
        <v>205079</v>
      </c>
      <c r="E35" s="48" t="str">
        <f>+VLOOKUP(A35,cennik!A:G,2,FALSE)</f>
        <v>SEVROLL Elegant II tor dolny 2,35 m czarny szczotkowany</v>
      </c>
      <c r="F35" s="48" t="str">
        <f>+VLOOKUP(A35,cennik!A:B,2,FALSE)</f>
        <v>SEVROLL Elegant II tor dolny 2,35 m czarny szczotkowany</v>
      </c>
      <c r="H35" s="1">
        <v>2350</v>
      </c>
      <c r="I35" s="1" t="str">
        <f>CONCATENATE(H35,"-",J9,", ",J19)</f>
        <v>2350-szczot.czarna,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3000-szczot.czarna, Elegant II</v>
      </c>
      <c r="D36" s="49">
        <v>205186</v>
      </c>
      <c r="E36" s="48" t="str">
        <f>+VLOOKUP(A36,cennik!A:G,2,FALSE)</f>
        <v>SEVROLL Elegant II tor dolny 3 m czarny szczotkowany</v>
      </c>
      <c r="F36" s="48" t="str">
        <f>+VLOOKUP(A36,cennik!A:B,2,FALSE)</f>
        <v>SEVROLL Elegant II tor dolny 3 m czarny szczotkowany</v>
      </c>
      <c r="H36" s="1">
        <v>3000</v>
      </c>
      <c r="I36" s="1" t="str">
        <f>CONCATENATE(H36,"-",J9,", ",J19)</f>
        <v>3000-szczot.czarna,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4050-szczot.czarna, Elegant II</v>
      </c>
      <c r="D37" s="49">
        <v>205088</v>
      </c>
      <c r="E37" s="48" t="str">
        <f>+VLOOKUP(A37,cennik!A:G,2,FALSE)</f>
        <v>SEVROLL Elegant II tor dolny 4,05 m czarny szczotkowany</v>
      </c>
      <c r="F37" s="48" t="str">
        <f>+VLOOKUP(A37,cennik!A:B,2,FALSE)</f>
        <v>SEVROLL Elegant II tor dolny 4,05 m czarny szczotkowany</v>
      </c>
      <c r="H37" s="1">
        <v>4050</v>
      </c>
      <c r="I37" s="1" t="str">
        <f>CONCATENATE(H37,"-",J9,", ",J19)</f>
        <v>4050-szczot.czarna,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6000-szczot.czarna, Elegant II</v>
      </c>
      <c r="D38" s="49">
        <v>225369</v>
      </c>
      <c r="E38" s="48" t="str">
        <f>+VLOOKUP(A38,cennik!A:G,2,FALSE)</f>
        <v>SEVROLL Elegant II tor dolny 6m czarny szczotkowany</v>
      </c>
      <c r="F38" s="48" t="str">
        <f>+VLOOKUP(A38,cennik!A:B,2,FALSE)</f>
        <v>SEVROLL Elegant II tor dolny 6m czarny szczotkowany</v>
      </c>
      <c r="H38" s="1">
        <v>6000</v>
      </c>
      <c r="I38" s="1" t="str">
        <f>CONCATENATE(H38,"-",J9,", ",J19)</f>
        <v>6000-szczot.czarna,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1700-srebrny, Gemini</v>
      </c>
      <c r="D39" s="49">
        <v>84410</v>
      </c>
      <c r="E39" s="48" t="str">
        <f>+VLOOKUP(A39,cennik!A:G,2,FALSE)</f>
        <v>SEVROLL Gemini II tor dolny 1,7m srebrny</v>
      </c>
      <c r="F39" s="48" t="str">
        <f>+VLOOKUP(A39,cennik!A:B,2,FALSE)</f>
        <v>SEVROLL Gemini II tor dolny 1,7m srebrny</v>
      </c>
      <c r="H39" s="1">
        <v>1700</v>
      </c>
      <c r="I39" s="1" t="str">
        <f>CONCATENATE(H39,"-",J4,", ",J21)</f>
        <v>1700-srebrny,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2350-srebrny, Gemini</v>
      </c>
      <c r="D40" s="49">
        <v>98057</v>
      </c>
      <c r="E40" s="48" t="str">
        <f>+VLOOKUP(A40,cennik!A:G,2,FALSE)</f>
        <v>SEVROLL Gemini II tor dolny 2,35m srebrny</v>
      </c>
      <c r="F40" s="48" t="str">
        <f>+VLOOKUP(A40,cennik!A:B,2,FALSE)</f>
        <v>SEVROLL Gemini II tor dolny 2,35m srebrny</v>
      </c>
      <c r="H40" s="1">
        <v>2350</v>
      </c>
      <c r="I40" s="1" t="str">
        <f>CONCATENATE(H40,"-",J4,", ",J21)</f>
        <v>2350-srebrny,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3000-srebrny, Gemini</v>
      </c>
      <c r="D41" s="49">
        <v>84412</v>
      </c>
      <c r="E41" s="48" t="str">
        <f>+VLOOKUP(A41,cennik!A:G,2,FALSE)</f>
        <v>SEVROLL Gemini II tor dolny 3m srebrny</v>
      </c>
      <c r="F41" s="48" t="str">
        <f>+VLOOKUP(A41,cennik!A:B,2,FALSE)</f>
        <v>SEVROLL Gemini II tor dolny 3m srebrny</v>
      </c>
      <c r="H41" s="1">
        <v>3000</v>
      </c>
      <c r="I41" s="1" t="str">
        <f>CONCATENATE(H41,"-",J4,", ",J21)</f>
        <v>3000-srebrny,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4050-srebrny, Gemini</v>
      </c>
      <c r="D42" s="49">
        <v>98058</v>
      </c>
      <c r="E42" s="48" t="str">
        <f>+VLOOKUP(A42,cennik!A:G,2,FALSE)</f>
        <v>SEVROLL Gemini II tor dolny 4,05m srebrny</v>
      </c>
      <c r="F42" s="48" t="str">
        <f>+VLOOKUP(A42,cennik!A:B,2,FALSE)</f>
        <v>SEVROLL Gemini II tor dolny 4,05m srebrny</v>
      </c>
      <c r="H42" s="1">
        <v>4050</v>
      </c>
      <c r="I42" s="1" t="str">
        <f>CONCATENATE(H42,"-",J4,", ",J21)</f>
        <v>4050-srebrny,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6000-srebrny, Gemini</v>
      </c>
      <c r="D43" s="49">
        <v>159409</v>
      </c>
      <c r="E43" s="48" t="str">
        <f>+VLOOKUP(A43,cennik!A:G,2,FALSE)</f>
        <v>SEVROLL Gemini II tor dolny 6m srebrny</v>
      </c>
      <c r="F43" s="48" t="str">
        <f>+VLOOKUP(A43,cennik!A:B,2,FALSE)</f>
        <v>SEVROLL Gemini II tor dolny 6m srebrny</v>
      </c>
      <c r="H43" s="1">
        <v>6000</v>
      </c>
      <c r="I43" s="1" t="str">
        <f>CONCATENATE(H43,"-",J4,", ",J21)</f>
        <v>6000-srebrny,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1700-j.brąz, Gemini</v>
      </c>
      <c r="D44" s="49">
        <v>308647</v>
      </c>
      <c r="E44" s="48" t="str">
        <f>+VLOOKUP(A44,cennik!A:G,2,FALSE)</f>
        <v>SEVROLL Gemini II tor dolny 1,7m jasny brąz</v>
      </c>
      <c r="F44" s="48" t="str">
        <f>+VLOOKUP(A44,cennik!A:B,2,FALSE)</f>
        <v>SEVROLL Gemini II tor dolny 1,7m jasny brąz</v>
      </c>
      <c r="H44" s="1">
        <v>1700</v>
      </c>
      <c r="I44" s="1" t="str">
        <f>CONCATENATE(H44,"-",J6,", ",J21)</f>
        <v>1700-j.brąz,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2350-j.brąz, Gemini</v>
      </c>
      <c r="D45" s="49">
        <v>308653</v>
      </c>
      <c r="E45" s="48" t="str">
        <f>+VLOOKUP(A45,cennik!A:G,2,FALSE)</f>
        <v>SEVROLL Gemini II tor dolny 2,35m jasny brąz</v>
      </c>
      <c r="F45" s="48" t="str">
        <f>+VLOOKUP(A45,cennik!A:B,2,FALSE)</f>
        <v>SEVROLL Gemini II tor dolny 2,35m jasny brąz</v>
      </c>
      <c r="H45" s="1">
        <v>2350</v>
      </c>
      <c r="I45" s="1" t="str">
        <f>CONCATENATE(H45,"-",J6,", ",J21)</f>
        <v>2350-j.brąz,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3000-j.brąz, Gemini</v>
      </c>
      <c r="D46" s="49">
        <v>308657</v>
      </c>
      <c r="E46" s="48" t="str">
        <f>+VLOOKUP(A46,cennik!A:G,2,FALSE)</f>
        <v>SEVROLL Gemini II tor dolny 3m jasny brąz</v>
      </c>
      <c r="F46" s="48" t="str">
        <f>+VLOOKUP(A46,cennik!A:B,2,FALSE)</f>
        <v>SEVROLL Gemini II tor dolny 3m jasny brąz</v>
      </c>
      <c r="H46" s="1">
        <v>3000</v>
      </c>
      <c r="I46" s="1" t="str">
        <f>CONCATENATE(H46,"-",J6,", ",J21)</f>
        <v>3000-j.brąz,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4050-j.brąz, Gemini</v>
      </c>
      <c r="D47" s="49">
        <v>308666</v>
      </c>
      <c r="E47" s="48" t="str">
        <f>+VLOOKUP(A47,cennik!A:G,2,FALSE)</f>
        <v>SEVROLL Gemini II tor dolny 4,05m jasny brąz</v>
      </c>
      <c r="F47" s="48" t="str">
        <f>+VLOOKUP(A47,cennik!A:B,2,FALSE)</f>
        <v>SEVROLL Gemini II tor dolny 4,05m jasny brąz</v>
      </c>
      <c r="H47" s="1">
        <v>4050</v>
      </c>
      <c r="I47" s="1" t="str">
        <f>CONCATENATE(H47,"-",J6,", ",J21)</f>
        <v>4050-j.brąz,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6000-j.brąz, Gemini</v>
      </c>
      <c r="D48" s="49">
        <v>308668</v>
      </c>
      <c r="E48" s="48" t="str">
        <f>+VLOOKUP(A48,cennik!A:G,2,FALSE)</f>
        <v>SEVROLL Gemini II tor dolny 6m jasny brąz</v>
      </c>
      <c r="F48" s="48" t="str">
        <f>+VLOOKUP(A48,cennik!A:B,2,FALSE)</f>
        <v>SEVROLL Gemini II tor dolny 6m jasny brąz</v>
      </c>
      <c r="H48" s="1">
        <v>6000</v>
      </c>
      <c r="I48" s="1" t="str">
        <f>CONCATENATE(H48,"-",J6,", ",J21)</f>
        <v>6000-j.brąz,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 biały połysk, Gemini</v>
      </c>
      <c r="D49" s="49">
        <v>351475</v>
      </c>
      <c r="E49" s="48" t="str">
        <f>+VLOOKUP(A49,cennik!A:G,2,FALSE)</f>
        <v>SEVROLL Gemini II tor dolny 1,7m biały połysk</v>
      </c>
      <c r="F49" s="48" t="str">
        <f>+VLOOKUP(A49,cennik!A:B,2,FALSE)</f>
        <v>SEVROLL Gemini II tor dolny 1,7m biały połysk</v>
      </c>
      <c r="H49" s="1">
        <v>1700</v>
      </c>
      <c r="I49" s="1" t="str">
        <f>CONCATENATE(H49,"-",J15,", ",J21)</f>
        <v>1700- biały połysk,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 biały połysk, Gemini</v>
      </c>
      <c r="D50" s="49">
        <v>351476</v>
      </c>
      <c r="E50" s="48" t="str">
        <f>+VLOOKUP(A50,cennik!A:G,2,FALSE)</f>
        <v>SEVROLL Gemini II tor dolny 2,35m biały połysk</v>
      </c>
      <c r="F50" s="48" t="str">
        <f>+VLOOKUP(A50,cennik!A:B,2,FALSE)</f>
        <v>SEVROLL Gemini II tor dolny 2,35m biały połysk</v>
      </c>
      <c r="H50" s="1">
        <v>2350</v>
      </c>
      <c r="I50" s="1" t="str">
        <f>CONCATENATE(H50,"-",J15,", ",J21)</f>
        <v>2350- biały połysk,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 biały połysk, Gemini</v>
      </c>
      <c r="D51" s="49">
        <v>351517</v>
      </c>
      <c r="E51" s="48" t="str">
        <f>+VLOOKUP(A51,cennik!A:G,2,FALSE)</f>
        <v>SEVROLL Gemini II tor dolny 3m biały połysk</v>
      </c>
      <c r="F51" s="48" t="str">
        <f>+VLOOKUP(A51,cennik!A:B,2,FALSE)</f>
        <v>SEVROLL Gemini II tor dolny 3m biały połysk</v>
      </c>
      <c r="H51" s="1">
        <v>3000</v>
      </c>
      <c r="I51" s="1" t="str">
        <f>CONCATENATE(H51,"-",J15,", ",J21)</f>
        <v>3000- biały połysk,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 biały połysk, Gemini</v>
      </c>
      <c r="D52" s="49">
        <v>351541</v>
      </c>
      <c r="E52" s="48" t="str">
        <f>+VLOOKUP(A52,cennik!A:G,2,FALSE)</f>
        <v>SEVROLL Gemini II tor dolny 4,05m biały połysk</v>
      </c>
      <c r="F52" s="48" t="str">
        <f>+VLOOKUP(A52,cennik!A:B,2,FALSE)</f>
        <v>SEVROLL Gemini II tor dolny 4,05m biały połysk</v>
      </c>
      <c r="H52" s="1">
        <v>4050</v>
      </c>
      <c r="I52" s="1" t="str">
        <f>CONCATENATE(H52,"-",J15,", ",J21)</f>
        <v>4050- biały połysk,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 biały połysk, Gemini</v>
      </c>
      <c r="D53" s="49">
        <v>351578</v>
      </c>
      <c r="E53" s="48" t="str">
        <f>+VLOOKUP(A53,cennik!A:G,2,FALSE)</f>
        <v>SEVROLL Gemini II tor dolny 6m biały połysk</v>
      </c>
      <c r="F53" s="48" t="str">
        <f>+VLOOKUP(A53,cennik!A:B,2,FALSE)</f>
        <v>SEVROLL Gemini II tor dolny 6m biały połysk</v>
      </c>
      <c r="H53" s="1">
        <v>6000</v>
      </c>
      <c r="I53" s="1" t="str">
        <f>CONCATENATE(H53,"-",J15,", ",J21)</f>
        <v>6000- biały połysk,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tor dolny 1,7 m grafit</v>
      </c>
      <c r="F54" s="48" t="str">
        <f>+VLOOKUP(A54,cennik!A:B,2,FALSE)</f>
        <v>SEVROLL 06042 Elegant II tor dolny 1,7 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tor dolny 2,35 m grafit</v>
      </c>
      <c r="F55" s="48" t="str">
        <f>+VLOOKUP(A55,cennik!A:B,2,FALSE)</f>
        <v>SEVROLL 06043 Elegant II tor dolny 2,35 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tor dolny 3 m grafit</v>
      </c>
      <c r="F56" s="48" t="str">
        <f>+VLOOKUP(A56,cennik!A:B,2,FALSE)</f>
        <v>SEVROLL 06020 Elegant II tor dolny 3 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tor dolny 4,05 m grafit</v>
      </c>
      <c r="F57" s="48" t="str">
        <f>+VLOOKUP(A57,cennik!A:B,2,FALSE)</f>
        <v>SEVROLL 06021 Elegant II tor dolny 4,05 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tor dolny 6m grafit</v>
      </c>
      <c r="F58" s="48" t="str">
        <f>+VLOOKUP(A58,cennik!A:B,2,FALSE)</f>
        <v>SEVROLL 06044 Elegant II tor dolny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 czarny mat, Elegant II</v>
      </c>
      <c r="D59" s="49">
        <v>409676</v>
      </c>
      <c r="E59" s="48" t="str">
        <f>+VLOOKUP(A59,cennik!A:G,2,FALSE)</f>
        <v>SEVROLL 05311 Elegant II tor dolny 4,05 m czarny mat</v>
      </c>
      <c r="F59" s="48" t="str">
        <f>+VLOOKUP(A59,cennik!A:B,2,FALSE)</f>
        <v>SEVROLL 05311 Elegant II tor dolny 4,05 m czarny mat</v>
      </c>
      <c r="H59" s="1">
        <v>4050</v>
      </c>
      <c r="I59" s="1" t="str">
        <f>CONCATENATE(H59,"-",J17,", ",J21)</f>
        <v>4050- czarny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 czarny mat, Elegant II</v>
      </c>
      <c r="D60" s="49">
        <v>409678</v>
      </c>
      <c r="E60" s="48" t="str">
        <f>+VLOOKUP(A60,cennik!A:G,2,FALSE)</f>
        <v>SEVROLL 05309 Elegant II tor dolny 2,35 m czarny mat</v>
      </c>
      <c r="F60" s="48" t="str">
        <f>+VLOOKUP(A60,cennik!A:B,2,FALSE)</f>
        <v>SEVROLL 05309 Elegant II tor dolny 2,35 m czarny mat</v>
      </c>
      <c r="H60" s="1">
        <v>2350</v>
      </c>
      <c r="I60" s="1" t="str">
        <f>CONCATENATE(H60,"-",J17,", ",J21)</f>
        <v>2350- czarny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 czarny mat, Elegant II</v>
      </c>
      <c r="D61" s="49">
        <v>412231</v>
      </c>
      <c r="E61" s="48" t="str">
        <f>+VLOOKUP(A61,cennik!A:G,2,FALSE)</f>
        <v>SEVROLL Elegant II tor dolny 3 m czarny mat</v>
      </c>
      <c r="F61" s="48" t="str">
        <f>+VLOOKUP(A61,cennik!A:B,2,FALSE)</f>
        <v>SEVROLL Elegant II tor dolny 3 m czarny mat</v>
      </c>
      <c r="H61" s="1">
        <v>3000</v>
      </c>
      <c r="I61" s="1" t="str">
        <f>CONCATENATE(H61,"-",J17,", ",J21)</f>
        <v>3000- czarny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 czarny mat, Elegant II</v>
      </c>
      <c r="D62" s="49">
        <v>422007</v>
      </c>
      <c r="E62" s="48" t="str">
        <f>+VLOOKUP(A62,cennik!A:G,2,FALSE)</f>
        <v>SEVROLL Elegant II tor dolny 1,7 m czarny mat</v>
      </c>
      <c r="F62" s="48" t="str">
        <f>+VLOOKUP(A62,cennik!A:B,2,FALSE)</f>
        <v>SEVROLL Elegant II tor dolny 1,7 m czarny mat</v>
      </c>
      <c r="H62" s="1">
        <v>1700</v>
      </c>
      <c r="I62" s="1" t="str">
        <f>CONCATENATE(H62,"-",J17,", ",J21)</f>
        <v>1700- czarny mat,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 czarny mat, Elegant II</v>
      </c>
      <c r="D63" s="49">
        <v>452743</v>
      </c>
      <c r="E63" s="48" t="str">
        <f>+VLOOKUP(A63,cennik!A:G,2,FALSE)</f>
        <v>SEVROLL 05312 Elegant II tor dolny 6m czarny mat</v>
      </c>
      <c r="F63" s="48" t="str">
        <f>+VLOOKUP(A63,cennik!A:B,2,FALSE)</f>
        <v>SEVROLL 05312 Elegant II tor dolny 6m czarny mat</v>
      </c>
      <c r="H63" s="1">
        <v>6000</v>
      </c>
      <c r="I63" s="1" t="str">
        <f>CONCATENATE(H63,"-",J17,", ",J21)</f>
        <v>6000- czarny mat,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1700-złoty/mosiądz,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1700-złoty/mosiądz,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2350-złoty/mosiądz,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2350-złoty/mosiądz,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3000-złoty/mosiądz,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3000-złoty/mosiądz,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4050-złoty/mosiądz,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4050-złoty/mosiądz,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6000-złoty/mosiądz,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6000-złoty/mosiądz,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1700-j.brąz szczotkowany,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1700-j.brąz szczotkowany,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2350-j.brąz szczotkowany,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2350-j.brąz szczotkowany,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3000-j.brąz szczotkowany,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3000-j.brąz szczotkowany,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4050-j.brąz szczotkowany,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4050-j.brąz szczotkowany,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6000-j.brąz szczotkowany,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6000-j.brąz szczotkowany,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1700-szczot.oliwa ciemna,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1700-szczot.oliwa ciemna,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2350-szczot.oliwa ciemna,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2350-szczot.oliwa ciemna,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3000-szczot.oliwa ciemna,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3000-szczot.oliwa ciemna,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4050-szczot.oliwa ciemna,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4050-szczot.oliwa ciemna,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6000-szczot.oliwa ciemna,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6000-szczot.oliwa ciemna,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1700-szczot.czarna,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1700-szczot.czarna,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2350-szczot.czarna,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2350-szczot.czarna,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3000-szczot.czarna,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3000-szczot.czarna,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4050-szczot.czarna,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4050-szczot.czarna,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6000-szczot.czarna,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6000-szczot.czarna,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1700-czarny lakier strukturalny, Elegant II</v>
      </c>
      <c r="D84" s="196">
        <v>526506</v>
      </c>
      <c r="E84" s="48" t="str">
        <f>+VLOOKUP(A84,cennik!A:G,2,FALSE)</f>
        <v>SEVROLL 06269 Elegant II tor dolny 1,7 m czarny lakier strukturalny</v>
      </c>
      <c r="F84" s="48" t="str">
        <f>+VLOOKUP(A84,cennik!A:B,2,FALSE)</f>
        <v>SEVROLL 06269 Elegant II tor dolny 1,7 m czarny lakier strukturalny</v>
      </c>
      <c r="H84" s="1">
        <v>1700</v>
      </c>
      <c r="I84" s="1" t="str">
        <f>CONCATENATE(H84,"-",J22,", ",J20)</f>
        <v>1700-czarny lakier strukturalny, Elegant II</v>
      </c>
    </row>
    <row r="85" spans="1:26" ht="15" customHeight="1" x14ac:dyDescent="0.3">
      <c r="A85" s="196">
        <v>526509</v>
      </c>
      <c r="C85" s="1" t="str">
        <f>CONCATENATE(H85,"-",J22,", ",J20)</f>
        <v>2350-czarny lakier strukturalny, Elegant II</v>
      </c>
      <c r="D85" s="196">
        <v>526509</v>
      </c>
      <c r="E85" s="48" t="str">
        <f>+VLOOKUP(A85,cennik!A:G,2,FALSE)</f>
        <v>SEVROLL 06270 Elegant II tor dolny 2,35 m czarny lakier strukturalny</v>
      </c>
      <c r="F85" s="48" t="str">
        <f>+VLOOKUP(A85,cennik!A:B,2,FALSE)</f>
        <v>SEVROLL 06270 Elegant II tor dolny 2,35 m czarny lakier strukturalny</v>
      </c>
      <c r="H85" s="1">
        <v>2350</v>
      </c>
      <c r="I85" s="1" t="str">
        <f>CONCATENATE(H85,"-",J22,", ",J20)</f>
        <v>2350-czarny lakier strukturalny, Elegant II</v>
      </c>
    </row>
    <row r="86" spans="1:26" ht="15" customHeight="1" x14ac:dyDescent="0.3">
      <c r="A86" s="196">
        <v>526510</v>
      </c>
      <c r="C86" s="1" t="str">
        <f>CONCATENATE(H86,"-",J22,", ",J20)</f>
        <v>3000-czarny lakier strukturalny, Elegant II</v>
      </c>
      <c r="D86" s="196">
        <v>526510</v>
      </c>
      <c r="E86" s="48" t="str">
        <f>+VLOOKUP(A86,cennik!A:G,2,FALSE)</f>
        <v>SEVROLL 06271 Elegant II tor dolny 3 m czarny lakier strukturalny</v>
      </c>
      <c r="F86" s="48" t="str">
        <f>+VLOOKUP(A86,cennik!A:B,2,FALSE)</f>
        <v>SEVROLL 06271 Elegant II tor dolny 3 m czarny lakier strukturalny</v>
      </c>
      <c r="H86" s="1">
        <v>3000</v>
      </c>
      <c r="I86" s="1" t="str">
        <f>CONCATENATE(H86,"-",J22,", ",J20)</f>
        <v>3000-czarny lakier strukturalny, Elegant II</v>
      </c>
    </row>
    <row r="87" spans="1:26" ht="15" customHeight="1" x14ac:dyDescent="0.3">
      <c r="A87" s="196">
        <v>526511</v>
      </c>
      <c r="C87" s="1" t="str">
        <f>CONCATENATE(H87,"-",J22,", ",J20)</f>
        <v>4050-czarny lakier strukturalny, Elegant II</v>
      </c>
      <c r="D87" s="196">
        <v>526511</v>
      </c>
      <c r="E87" s="48" t="str">
        <f>+VLOOKUP(A87,cennik!A:G,2,FALSE)</f>
        <v>SEVROLL 06272 Elegant II tor dolny 4,05 m czarny lakier strukturalny</v>
      </c>
      <c r="F87" s="48" t="str">
        <f>+VLOOKUP(A87,cennik!A:B,2,FALSE)</f>
        <v>SEVROLL 06272 Elegant II tor dolny 4,05 m czarny lakier strukturalny</v>
      </c>
      <c r="H87" s="1">
        <v>4050</v>
      </c>
      <c r="I87" s="1" t="str">
        <f>CONCATENATE(H87,"-",J22,", ",J20)</f>
        <v>4050-czarny lakier strukturalny, Elegant II</v>
      </c>
    </row>
    <row r="88" spans="1:26" ht="15" customHeight="1" x14ac:dyDescent="0.3">
      <c r="A88" s="196">
        <v>526512</v>
      </c>
      <c r="C88" s="1" t="str">
        <f>CONCATENATE(H88,"-",J22,", ",J20)</f>
        <v>6000-czarny lakier strukturalny, Elegant II</v>
      </c>
      <c r="D88" s="196">
        <v>526512</v>
      </c>
      <c r="E88" s="48" t="str">
        <f>+VLOOKUP(A88,cennik!A:G,2,FALSE)</f>
        <v>SEVROLL 06128 Elegant II tor dolny 6m czarny lakier strukturalny</v>
      </c>
      <c r="F88" s="48" t="str">
        <f>+VLOOKUP(A88,cennik!A:B,2,FALSE)</f>
        <v>SEVROLL 06128 Elegant II tor dolny 6m czarny lakier strukturalny</v>
      </c>
      <c r="H88" s="1">
        <v>6000</v>
      </c>
      <c r="I88" s="1" t="str">
        <f>CONCATENATE(H88,"-",J22,", ",J20)</f>
        <v>6000-czarny lakier strukturalny, Elegant II</v>
      </c>
    </row>
    <row r="89" spans="1:26" ht="15" customHeight="1" x14ac:dyDescent="0.3">
      <c r="A89" s="2">
        <v>394792</v>
      </c>
      <c r="C89" s="1" t="str">
        <f>CONCATENATE(H89,"-",J18,", ",J19)</f>
        <v>1700-biały mat, Elegant II</v>
      </c>
      <c r="D89" s="2">
        <v>394792</v>
      </c>
      <c r="E89" s="48" t="str">
        <f>+VLOOKUP(A89,cennik!A:G,2,FALSE)</f>
        <v>SEVROLL Elegant II tor dolny 1,7 m biały matowy</v>
      </c>
      <c r="F89" s="48" t="str">
        <f>+VLOOKUP(A89,cennik!A:B,2,FALSE)</f>
        <v>SEVROLL Elegant II tor dolny 1,7 m biały matowy</v>
      </c>
      <c r="H89" s="1">
        <v>1700</v>
      </c>
      <c r="I89" s="1" t="str">
        <f>CONCATENATE(H89,"-",J18,", ",J19)</f>
        <v>1700-biały mat, Elegant II</v>
      </c>
    </row>
    <row r="90" spans="1:26" ht="15" customHeight="1" x14ac:dyDescent="0.3">
      <c r="A90" s="2">
        <v>394795</v>
      </c>
      <c r="C90" s="1" t="str">
        <f>CONCATENATE(H90,"-",J18,", ",J19)</f>
        <v>2350-biały mat, Elegant II</v>
      </c>
      <c r="D90" s="2">
        <v>394795</v>
      </c>
      <c r="E90" s="48" t="str">
        <f>+VLOOKUP(A90,cennik!A:G,2,FALSE)</f>
        <v>SEVROLL Elegant II tor dolny 2,35 m biały matowy</v>
      </c>
      <c r="F90" s="48" t="str">
        <f>+VLOOKUP(A90,cennik!A:B,2,FALSE)</f>
        <v>SEVROLL Elegant II tor dolny 2,35 m biały matowy</v>
      </c>
      <c r="H90" s="1">
        <v>2350</v>
      </c>
      <c r="I90" s="1" t="str">
        <f>CONCATENATE(H90,"-",J18,", ",J19)</f>
        <v>2350-biały mat, Elegant II</v>
      </c>
    </row>
    <row r="91" spans="1:26" ht="15" customHeight="1" x14ac:dyDescent="0.3">
      <c r="A91" s="2">
        <v>276743</v>
      </c>
      <c r="C91" s="1" t="str">
        <f>CONCATENATE(H91,"-",J18,", ",J19)</f>
        <v>3000-biały mat, Elegant II</v>
      </c>
      <c r="D91" s="2">
        <v>276743</v>
      </c>
      <c r="E91" s="48" t="str">
        <f>+VLOOKUP(A91,cennik!A:G,2,FALSE)</f>
        <v>SEVROLL Elegant II tor dolny 3 m, biały matowy</v>
      </c>
      <c r="F91" s="48" t="str">
        <f>+VLOOKUP(A91,cennik!A:B,2,FALSE)</f>
        <v>SEVROLL Elegant II tor dolny 3 m, biały matowy</v>
      </c>
      <c r="H91" s="1">
        <v>3000</v>
      </c>
      <c r="I91" s="1" t="str">
        <f>CONCATENATE(H91,"-",J18,", ",J19)</f>
        <v>3000-biały mat, Elegant II</v>
      </c>
    </row>
    <row r="92" spans="1:26" ht="15" customHeight="1" x14ac:dyDescent="0.3">
      <c r="A92" s="2">
        <v>394796</v>
      </c>
      <c r="C92" s="1" t="str">
        <f>CONCATENATE(H92,"-",J18,", ",J19)</f>
        <v>4050-biały mat, Elegant II</v>
      </c>
      <c r="D92" s="2">
        <v>394796</v>
      </c>
      <c r="E92" s="48" t="str">
        <f>+VLOOKUP(A92,cennik!A:G,2,FALSE)</f>
        <v>SEVROLL Elegant II tor dolny 4,05 m biały matowy</v>
      </c>
      <c r="F92" s="48" t="str">
        <f>+VLOOKUP(A92,cennik!A:B,2,FALSE)</f>
        <v>SEVROLL Elegant II tor dolny 4,05 m biały matowy</v>
      </c>
      <c r="H92" s="1">
        <v>4050</v>
      </c>
      <c r="I92" s="1" t="str">
        <f>CONCATENATE(H92,"-",J18,", ",J19)</f>
        <v>4050-biały mat, Elegant II</v>
      </c>
    </row>
    <row r="93" spans="1:26" ht="15" customHeight="1" x14ac:dyDescent="0.3">
      <c r="A93" s="2">
        <v>394800</v>
      </c>
      <c r="C93" s="1" t="str">
        <f>CONCATENATE(H93,"-",J18,", ",J19)</f>
        <v>6000-biały mat, Elegant II</v>
      </c>
      <c r="D93" s="2">
        <v>394800</v>
      </c>
      <c r="E93" s="48" t="str">
        <f>+VLOOKUP(A93,cennik!A:G,2,FALSE)</f>
        <v>SEVROLL Elegant II tor dolny 6m biały mat</v>
      </c>
      <c r="F93" s="48" t="str">
        <f>+VLOOKUP(A93,cennik!A:B,2,FALSE)</f>
        <v>SEVROLL Elegant II tor dolny 6m biały mat</v>
      </c>
      <c r="H93" s="1">
        <v>6000</v>
      </c>
      <c r="I93" s="1" t="str">
        <f>CONCATENATE(H93,"-",J18,", ",J19)</f>
        <v>6000-biały mat, Elegant II</v>
      </c>
    </row>
    <row r="94" spans="1:26" ht="15" customHeight="1" x14ac:dyDescent="0.3">
      <c r="A94" s="418">
        <v>405393</v>
      </c>
      <c r="B94" s="417"/>
      <c r="C94" s="1" t="str">
        <f>CONCATENATE(H94,"-",J16,", ",J19)</f>
        <v>1700-czarny połysk, Elegant II</v>
      </c>
      <c r="D94" s="418">
        <v>405393</v>
      </c>
      <c r="E94" s="419" t="str">
        <f>+VLOOKUP(A94,cennik!A:G,2,FALSE)</f>
        <v>SEVROLL Elegant II tor dolny 1,7 m czarny połysk</v>
      </c>
      <c r="F94" s="419" t="str">
        <f>+VLOOKUP(A94,cennik!A:B,2,FALSE)</f>
        <v>SEVROLL Elegant II tor dolny 1,7 m czarny połysk</v>
      </c>
      <c r="G94" s="417"/>
      <c r="H94" s="417">
        <v>1700</v>
      </c>
      <c r="I94" s="1" t="str">
        <f>CONCATENATE(H94,"-",J16,", ",J19)</f>
        <v>1700-czarny połysk, Elegant II</v>
      </c>
      <c r="Z94" s="1" t="b">
        <f t="shared" si="4"/>
        <v>1</v>
      </c>
    </row>
    <row r="95" spans="1:26" ht="15" customHeight="1" x14ac:dyDescent="0.3">
      <c r="A95" s="418">
        <v>398188</v>
      </c>
      <c r="B95" s="417"/>
      <c r="C95" s="1" t="str">
        <f>CONCATENATE(H95,"-",J16,", ",J19)</f>
        <v>2350-czarny połysk, Elegant II</v>
      </c>
      <c r="D95" s="418">
        <v>398188</v>
      </c>
      <c r="E95" s="419" t="str">
        <f>+VLOOKUP(A95,cennik!A:G,2,FALSE)</f>
        <v>SEVROLL Elegant II tor dolny 2,35 m czarny połysk</v>
      </c>
      <c r="F95" s="419" t="str">
        <f>+VLOOKUP(A95,cennik!A:B,2,FALSE)</f>
        <v>SEVROLL Elegant II tor dolny 2,35 m czarny połysk</v>
      </c>
      <c r="G95" s="417"/>
      <c r="H95" s="417">
        <v>2350</v>
      </c>
      <c r="I95" s="1" t="str">
        <f>CONCATENATE(H95,"-",J16,", ",J19)</f>
        <v>2350-czarny połysk, Elegant II</v>
      </c>
      <c r="Z95" s="1" t="b">
        <f t="shared" si="4"/>
        <v>1</v>
      </c>
    </row>
    <row r="96" spans="1:26" ht="15" customHeight="1" x14ac:dyDescent="0.3">
      <c r="A96" s="418">
        <v>405403</v>
      </c>
      <c r="B96" s="417"/>
      <c r="C96" s="1" t="str">
        <f>CONCATENATE(H96,"-",J16,", ",J19)</f>
        <v>3000-czarny połysk, Elegant II</v>
      </c>
      <c r="D96" s="418">
        <v>405403</v>
      </c>
      <c r="E96" s="419" t="str">
        <f>+VLOOKUP(A96,cennik!A:G,2,FALSE)</f>
        <v>SEVROLL Elegant II tor dolny 3 m czarny połysk</v>
      </c>
      <c r="F96" s="419" t="str">
        <f>+VLOOKUP(A96,cennik!A:B,2,FALSE)</f>
        <v>SEVROLL Elegant II tor dolny 3 m czarny połysk</v>
      </c>
      <c r="G96" s="417"/>
      <c r="H96" s="417">
        <v>3000</v>
      </c>
      <c r="I96" s="1" t="str">
        <f>CONCATENATE(H96,"-",J16,", ",J19)</f>
        <v>3000-czarny połysk, Elegant II</v>
      </c>
      <c r="Z96" s="1" t="b">
        <f t="shared" si="4"/>
        <v>1</v>
      </c>
    </row>
    <row r="97" spans="1:26" ht="15" customHeight="1" x14ac:dyDescent="0.3">
      <c r="A97" s="418">
        <v>405404</v>
      </c>
      <c r="B97" s="417"/>
      <c r="C97" s="1" t="str">
        <f>CONCATENATE(H97,"-",J16,", ",J19)</f>
        <v>4050-czarny połysk, Elegant II</v>
      </c>
      <c r="D97" s="418">
        <v>405404</v>
      </c>
      <c r="E97" s="419" t="str">
        <f>+VLOOKUP(A97,cennik!A:G,2,FALSE)</f>
        <v>SEVROLL Elegant II tor dolny 4,05 m czarny połysk</v>
      </c>
      <c r="F97" s="419" t="str">
        <f>+VLOOKUP(A97,cennik!A:B,2,FALSE)</f>
        <v>SEVROLL Elegant II tor dolny 4,05 m czarny połysk</v>
      </c>
      <c r="G97" s="417"/>
      <c r="H97" s="417">
        <v>4050</v>
      </c>
      <c r="I97" s="1" t="str">
        <f>CONCATENATE(H97,"-",J16,", ",J19)</f>
        <v>4050-czarny połysk, Elegant II</v>
      </c>
      <c r="Z97" s="1" t="b">
        <f t="shared" si="4"/>
        <v>1</v>
      </c>
    </row>
    <row r="98" spans="1:26" ht="15" customHeight="1" x14ac:dyDescent="0.3">
      <c r="A98" s="418">
        <v>405406</v>
      </c>
      <c r="B98" s="417"/>
      <c r="C98" s="1" t="str">
        <f>CONCATENATE(H98,"-",J16,", ",J19)</f>
        <v>6000-czarny połysk, Elegant II</v>
      </c>
      <c r="D98" s="418">
        <v>405406</v>
      </c>
      <c r="E98" s="419" t="str">
        <f>+VLOOKUP(A98,cennik!A:G,2,FALSE)</f>
        <v>SEVROLL Elegant II tor dolny 6m czarny połysk</v>
      </c>
      <c r="F98" s="419" t="str">
        <f>+VLOOKUP(A98,cennik!A:B,2,FALSE)</f>
        <v>SEVROLL Elegant II tor dolny 6m czarny połysk</v>
      </c>
      <c r="G98" s="417"/>
      <c r="H98" s="417">
        <v>6000</v>
      </c>
      <c r="I98" s="1" t="str">
        <f>CONCATENATE(H98,"-",J16,", ",J19)</f>
        <v>6000-czarny połysk, Elegant II</v>
      </c>
      <c r="Z98" s="1" t="b">
        <f t="shared" si="4"/>
        <v>1</v>
      </c>
    </row>
    <row r="99" spans="1:26" ht="15" customHeight="1" x14ac:dyDescent="0.3">
      <c r="A99" s="417">
        <v>422007</v>
      </c>
      <c r="B99" s="417"/>
      <c r="C99" s="1" t="str">
        <f>CONCATENATE(H99,"-",J17,", ",J19)</f>
        <v>1700- czarny mat, Elegant II</v>
      </c>
      <c r="D99" s="417">
        <v>422007</v>
      </c>
      <c r="E99" s="419" t="str">
        <f>+VLOOKUP(A99,cennik!A:G,2,FALSE)</f>
        <v>SEVROLL Elegant II tor dolny 1,7 m czarny mat</v>
      </c>
      <c r="F99" s="419" t="str">
        <f>+VLOOKUP(A99,cennik!A:B,2,FALSE)</f>
        <v>SEVROLL Elegant II tor dolny 1,7 m czarny mat</v>
      </c>
      <c r="G99" s="417"/>
      <c r="H99" s="417">
        <v>1700</v>
      </c>
      <c r="I99" s="1" t="str">
        <f>CONCATENATE(H99,"-",J17,", ",J19)</f>
        <v>1700- czarny mat, Elegant II</v>
      </c>
      <c r="Z99" s="1" t="b">
        <f t="shared" si="4"/>
        <v>1</v>
      </c>
    </row>
    <row r="100" spans="1:26" ht="15" customHeight="1" x14ac:dyDescent="0.3">
      <c r="A100" s="417">
        <v>409678</v>
      </c>
      <c r="B100" s="417"/>
      <c r="C100" s="1" t="str">
        <f>CONCATENATE(H100,"-",J17,", ",J19)</f>
        <v>2350- czarny mat, Elegant II</v>
      </c>
      <c r="D100" s="417">
        <v>409678</v>
      </c>
      <c r="E100" s="419" t="str">
        <f>+VLOOKUP(A100,cennik!A:G,2,FALSE)</f>
        <v>SEVROLL 05309 Elegant II tor dolny 2,35 m czarny mat</v>
      </c>
      <c r="F100" s="419" t="str">
        <f>+VLOOKUP(A100,cennik!A:B,2,FALSE)</f>
        <v>SEVROLL 05309 Elegant II tor dolny 2,35 m czarny mat</v>
      </c>
      <c r="G100" s="417"/>
      <c r="H100" s="417">
        <v>2350</v>
      </c>
      <c r="I100" s="1" t="str">
        <f>CONCATENATE(H100,"-",J17,", ",J19)</f>
        <v>2350- czarny mat, Elegant II</v>
      </c>
      <c r="Z100" s="1" t="b">
        <f t="shared" si="4"/>
        <v>1</v>
      </c>
    </row>
    <row r="101" spans="1:26" ht="15" customHeight="1" x14ac:dyDescent="0.3">
      <c r="A101" s="417">
        <v>412231</v>
      </c>
      <c r="B101" s="417"/>
      <c r="C101" s="1" t="str">
        <f>CONCATENATE(H101,"-",J17,", ",J19)</f>
        <v>3000- czarny mat, Elegant II</v>
      </c>
      <c r="D101" s="417">
        <v>412231</v>
      </c>
      <c r="E101" s="419" t="str">
        <f>+VLOOKUP(A101,cennik!A:G,2,FALSE)</f>
        <v>SEVROLL Elegant II tor dolny 3 m czarny mat</v>
      </c>
      <c r="F101" s="419" t="str">
        <f>+VLOOKUP(A101,cennik!A:B,2,FALSE)</f>
        <v>SEVROLL Elegant II tor dolny 3 m czarny mat</v>
      </c>
      <c r="G101" s="417"/>
      <c r="H101" s="417">
        <v>3000</v>
      </c>
      <c r="I101" s="1" t="str">
        <f>CONCATENATE(H101,"-",J17,", ",J19)</f>
        <v>3000- czarny mat, Elegant II</v>
      </c>
      <c r="Z101" s="1" t="b">
        <f t="shared" si="4"/>
        <v>1</v>
      </c>
    </row>
    <row r="102" spans="1:26" ht="15" customHeight="1" x14ac:dyDescent="0.3">
      <c r="A102" s="417">
        <v>409676</v>
      </c>
      <c r="B102" s="417"/>
      <c r="C102" s="1" t="str">
        <f>CONCATENATE(H102,"-",J17,", ",J19)</f>
        <v>4050- czarny mat, Elegant II</v>
      </c>
      <c r="D102" s="417">
        <v>409676</v>
      </c>
      <c r="E102" s="419" t="str">
        <f>+VLOOKUP(A102,cennik!A:G,2,FALSE)</f>
        <v>SEVROLL 05311 Elegant II tor dolny 4,05 m czarny mat</v>
      </c>
      <c r="F102" s="419" t="str">
        <f>+VLOOKUP(A102,cennik!A:B,2,FALSE)</f>
        <v>SEVROLL 05311 Elegant II tor dolny 4,05 m czarny mat</v>
      </c>
      <c r="G102" s="417"/>
      <c r="H102" s="417">
        <v>4050</v>
      </c>
      <c r="I102" s="1" t="str">
        <f>CONCATENATE(H102,"-",J17,", ",J19)</f>
        <v>4050- czarny mat, Elegant II</v>
      </c>
      <c r="Z102" s="1" t="b">
        <f t="shared" si="4"/>
        <v>1</v>
      </c>
    </row>
    <row r="103" spans="1:26" ht="15" customHeight="1" x14ac:dyDescent="0.3">
      <c r="A103" s="418">
        <v>452743</v>
      </c>
      <c r="B103" s="417"/>
      <c r="C103" s="1" t="str">
        <f>CONCATENATE(H103,"-",J17,", ",J19)</f>
        <v>6000- czarny mat, Elegant II</v>
      </c>
      <c r="D103" s="418">
        <v>452743</v>
      </c>
      <c r="E103" s="419" t="str">
        <f>+VLOOKUP(A103,cennik!A:G,2,FALSE)</f>
        <v>SEVROLL 05312 Elegant II tor dolny 6m czarny mat</v>
      </c>
      <c r="F103" s="419" t="str">
        <f>+VLOOKUP(A103,cennik!A:B,2,FALSE)</f>
        <v>SEVROLL 05312 Elegant II tor dolny 6m czarny mat</v>
      </c>
      <c r="G103" s="417"/>
      <c r="H103" s="417">
        <v>6000</v>
      </c>
      <c r="I103" s="1" t="str">
        <f>CONCATENATE(H103,"-",J17,", ",J19)</f>
        <v>6000- czarny mat,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17"/>
      <c r="C104" s="1" t="str">
        <f>CONCATENATE(H104,"-",J22,", ",J19)</f>
        <v>1700-czarny lakier strukturalny, Elegant II</v>
      </c>
      <c r="D104" s="196">
        <v>526506</v>
      </c>
      <c r="E104" s="419" t="str">
        <f>+VLOOKUP(A104,cennik!A:G,2,FALSE)</f>
        <v>SEVROLL 06269 Elegant II tor dolny 1,7 m czarny lakier strukturalny</v>
      </c>
      <c r="F104" s="419"/>
      <c r="G104" s="417"/>
      <c r="H104" s="417">
        <v>1700</v>
      </c>
      <c r="I104" s="1" t="str">
        <f>CONCATENATE(H104,"-",J22,", ",J19)</f>
        <v>1700-czarny lakier strukturalny, Elegant II</v>
      </c>
    </row>
    <row r="105" spans="1:26" ht="15" customHeight="1" x14ac:dyDescent="0.3">
      <c r="A105" s="196">
        <v>526509</v>
      </c>
      <c r="B105" s="417"/>
      <c r="C105" s="1" t="str">
        <f>CONCATENATE(H105,"-",J22,", ",J19)</f>
        <v>2350-czarny lakier strukturalny, Elegant II</v>
      </c>
      <c r="D105" s="196">
        <v>526509</v>
      </c>
      <c r="E105" s="419" t="str">
        <f>+VLOOKUP(A105,cennik!A:G,2,FALSE)</f>
        <v>SEVROLL 06270 Elegant II tor dolny 2,35 m czarny lakier strukturalny</v>
      </c>
      <c r="F105" s="419"/>
      <c r="G105" s="417"/>
      <c r="H105" s="417">
        <v>2350</v>
      </c>
      <c r="I105" s="1" t="str">
        <f>CONCATENATE(H105,"-",J22,", ",J19)</f>
        <v>2350-czarny lakier strukturalny, Elegant II</v>
      </c>
    </row>
    <row r="106" spans="1:26" ht="15" customHeight="1" x14ac:dyDescent="0.3">
      <c r="A106" s="196">
        <v>526510</v>
      </c>
      <c r="B106" s="417"/>
      <c r="C106" s="1" t="str">
        <f>CONCATENATE(H106,"-",J22,", ",J19)</f>
        <v>3000-czarny lakier strukturalny, Elegant II</v>
      </c>
      <c r="D106" s="196">
        <v>526510</v>
      </c>
      <c r="E106" s="419" t="str">
        <f>+VLOOKUP(A106,cennik!A:G,2,FALSE)</f>
        <v>SEVROLL 06271 Elegant II tor dolny 3 m czarny lakier strukturalny</v>
      </c>
      <c r="F106" s="419"/>
      <c r="G106" s="417"/>
      <c r="H106" s="417">
        <v>3000</v>
      </c>
      <c r="I106" s="1" t="str">
        <f>CONCATENATE(H106,"-",J22,", ",J19)</f>
        <v>3000-czarny lakier strukturalny, Elegant II</v>
      </c>
    </row>
    <row r="107" spans="1:26" ht="15" customHeight="1" x14ac:dyDescent="0.3">
      <c r="A107" s="196">
        <v>526511</v>
      </c>
      <c r="B107" s="417"/>
      <c r="C107" s="1" t="str">
        <f>CONCATENATE(H107,"-",J22,", ",J19)</f>
        <v>4050-czarny lakier strukturalny, Elegant II</v>
      </c>
      <c r="D107" s="196">
        <v>526511</v>
      </c>
      <c r="E107" s="419" t="str">
        <f>+VLOOKUP(A107,cennik!A:G,2,FALSE)</f>
        <v>SEVROLL 06272 Elegant II tor dolny 4,05 m czarny lakier strukturalny</v>
      </c>
      <c r="F107" s="419"/>
      <c r="G107" s="417"/>
      <c r="H107" s="417">
        <v>4050</v>
      </c>
      <c r="I107" s="1" t="str">
        <f>CONCATENATE(H107,"-",J22,", ",J19)</f>
        <v>4050-czarny lakier strukturalny, Elegant II</v>
      </c>
    </row>
    <row r="108" spans="1:26" ht="15" customHeight="1" x14ac:dyDescent="0.3">
      <c r="A108" s="196">
        <v>526512</v>
      </c>
      <c r="B108" s="417"/>
      <c r="C108" s="1" t="str">
        <f>CONCATENATE(H108,"-",J22,", ",J19)</f>
        <v>6000-czarny lakier strukturalny, Elegant II</v>
      </c>
      <c r="D108" s="196">
        <v>526512</v>
      </c>
      <c r="E108" s="419" t="str">
        <f>+VLOOKUP(A108,cennik!A:G,2,FALSE)</f>
        <v>SEVROLL 06128 Elegant II tor dolny 6m czarny lakier strukturalny</v>
      </c>
      <c r="F108" s="419"/>
      <c r="G108" s="417"/>
      <c r="H108" s="417">
        <v>6000</v>
      </c>
      <c r="I108" s="1" t="str">
        <f>CONCATENATE(H108,"-",J22,", ",J19)</f>
        <v>6000-czarny lakier strukturalny, Elegant II</v>
      </c>
    </row>
    <row r="109" spans="1:26" s="437" customFormat="1" ht="15" customHeight="1" x14ac:dyDescent="0.3">
      <c r="A109" s="436">
        <v>276743</v>
      </c>
      <c r="C109" s="1" t="str">
        <f>CONCATENATE(H109,"-",J18,", ",J19)</f>
        <v>3000-biały mat,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3000-biały mat, Elegant II</v>
      </c>
      <c r="Z109" s="1" t="b">
        <f t="shared" si="4"/>
        <v>1</v>
      </c>
    </row>
    <row r="110" spans="1:26" s="437" customFormat="1" ht="15" customHeight="1" x14ac:dyDescent="0.3">
      <c r="A110" s="436">
        <v>394792</v>
      </c>
      <c r="C110" s="1" t="str">
        <f>CONCATENATE(H110,"-",J18,", ",J19)</f>
        <v>1700-biały mat,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1700-biały mat, Elegant II</v>
      </c>
      <c r="Z110" s="1" t="b">
        <f t="shared" si="4"/>
        <v>1</v>
      </c>
    </row>
    <row r="111" spans="1:26" s="437" customFormat="1" ht="15" customHeight="1" x14ac:dyDescent="0.3">
      <c r="A111" s="436">
        <v>394795</v>
      </c>
      <c r="C111" s="1" t="str">
        <f>CONCATENATE(H111,"-",J18,", ",J19)</f>
        <v>2350-biały mat,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2350-biały mat, Elegant II</v>
      </c>
      <c r="Z111" s="1" t="b">
        <f t="shared" si="4"/>
        <v>1</v>
      </c>
    </row>
    <row r="112" spans="1:26" s="437" customFormat="1" ht="15" customHeight="1" x14ac:dyDescent="0.3">
      <c r="A112" s="436">
        <v>394796</v>
      </c>
      <c r="C112" s="1" t="str">
        <f>CONCATENATE(H112,"-",J18,", ",J19)</f>
        <v>4050-biały mat,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4050-biały mat, Elegant II</v>
      </c>
      <c r="Z112" s="1" t="b">
        <f t="shared" si="4"/>
        <v>1</v>
      </c>
    </row>
    <row r="113" spans="1:26" s="437" customFormat="1" ht="15" customHeight="1" x14ac:dyDescent="0.3">
      <c r="A113" s="436">
        <v>394800</v>
      </c>
      <c r="C113" s="1" t="str">
        <f>CONCATENATE(H113,"-",J18,", ",J19)</f>
        <v>6000-biały mat,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6000-biały mat,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1700-srebrny, Elegant II</v>
      </c>
      <c r="D115" s="49">
        <v>318657</v>
      </c>
      <c r="E115" s="48" t="str">
        <f>+VLOOKUP(A115,cennik!A:G,2,FALSE)</f>
        <v>SEVROLL zaślepka do toru Elegant II 1,7m srebrny</v>
      </c>
      <c r="F115" s="48" t="str">
        <f>+VLOOKUP(A115,cennik!A:B,2,FALSE)</f>
        <v>SEVROLL zaślepka do toru Elegant II 1,7m srebrny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1700-srebrny,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2350-srebrny, Elegant II</v>
      </c>
      <c r="D116" s="49">
        <v>318660</v>
      </c>
      <c r="E116" s="48" t="str">
        <f>+VLOOKUP(A116,cennik!A:G,2,FALSE)</f>
        <v>SEVROLL zaślepka do toru Elegant II 2,35m srebrny</v>
      </c>
      <c r="F116" s="48" t="str">
        <f>+VLOOKUP(A116,cennik!A:B,2,FALSE)</f>
        <v>SEVROLL zaślepka do toru Elegant II 2,35m srebrny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2350-srebrny,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3000-srebrny, Elegant II</v>
      </c>
      <c r="D117" s="49">
        <v>345408</v>
      </c>
      <c r="E117" s="48" t="str">
        <f>+VLOOKUP(A117,cennik!A:G,2,FALSE)</f>
        <v>SEVROLL zaślepka do toru Elegant II 3m srebrny</v>
      </c>
      <c r="F117" s="48" t="str">
        <f>+VLOOKUP(A117,cennik!A:B,2,FALSE)</f>
        <v>SEVROLL zaślepka do toru Elegant II 3m srebrny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3000-srebrny,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4050-srebrny, Elegant II</v>
      </c>
      <c r="D118" s="49">
        <v>345776</v>
      </c>
      <c r="E118" s="48" t="str">
        <f>+VLOOKUP(A118,cennik!A:G,2,FALSE)</f>
        <v>SEVROLL zaślepka do toru Elegant II 4,05m srebrny</v>
      </c>
      <c r="F118" s="48" t="str">
        <f>+VLOOKUP(A118,cennik!A:B,2,FALSE)</f>
        <v>SEVROLL zaślepka do toru Elegant II 4,05m srebrny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4050-srebrny,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6000-srebrny, Elegant II</v>
      </c>
      <c r="D119" s="168">
        <v>346118</v>
      </c>
      <c r="E119" s="48" t="str">
        <f>+VLOOKUP(A119,cennik!A:G,2,FALSE)</f>
        <v>SEVROLL maska do toru Elegant II 6 m srebrny</v>
      </c>
      <c r="F119" s="48" t="str">
        <f>+VLOOKUP(A119,cennik!A:B,2,FALSE)</f>
        <v>SEVROLL maska do toru Elegant II 6 m srebrny</v>
      </c>
      <c r="H119" s="1">
        <v>6000</v>
      </c>
      <c r="I119" s="1" t="str">
        <f>CONCATENATE(H119,"-",J4,", ",J19)</f>
        <v>6000-srebrny,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1700-j.brąz, Elegant II</v>
      </c>
      <c r="D120" s="49">
        <v>318655</v>
      </c>
      <c r="E120" s="48" t="str">
        <f>+VLOOKUP(A120,cennik!A:G,2,FALSE)</f>
        <v>SEVROLL maska do toru Elegant II 1,7m jasny brąz</v>
      </c>
      <c r="F120" s="48" t="str">
        <f>+VLOOKUP(A120,cennik!A:B,2,FALSE)</f>
        <v>SEVROLL maska do toru Elegant II 1,7m jasny brąz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1700-j.brąz,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2350-j.brąz, Elegant II</v>
      </c>
      <c r="D121" s="49">
        <v>318658</v>
      </c>
      <c r="E121" s="48" t="str">
        <f>+VLOOKUP(A121,cennik!A:G,2,FALSE)</f>
        <v>SEVROLL maska do toru Elegant II 2,35m jasny brąz</v>
      </c>
      <c r="F121" s="48" t="str">
        <f>+VLOOKUP(A121,cennik!A:B,2,FALSE)</f>
        <v>SEVROLL maska do toru Elegant II 2,35m jasny brąz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2350-j.brąz,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3000-j.brąz, Elegant II</v>
      </c>
      <c r="D122" s="49">
        <v>345409</v>
      </c>
      <c r="E122" s="48" t="str">
        <f>+VLOOKUP(A122,cennik!A:G,2,FALSE)</f>
        <v>SEVROLL maska do toru Elegant II 3 m jasny brąz</v>
      </c>
      <c r="F122" s="48" t="str">
        <f>+VLOOKUP(A122,cennik!A:B,2,FALSE)</f>
        <v>SEVROLL maska do toru Elegant II 3 m jasny brąz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3000-j.brąz,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4050-j.brąz, Elegant II</v>
      </c>
      <c r="D123" s="49">
        <v>345777</v>
      </c>
      <c r="E123" s="48" t="str">
        <f>+VLOOKUP(A123,cennik!A:G,2,FALSE)</f>
        <v>SEVROLL maska do toru Elegant II 4,05 m jasny brąz</v>
      </c>
      <c r="F123" s="48" t="str">
        <f>+VLOOKUP(A123,cennik!A:B,2,FALSE)</f>
        <v>SEVROLL maska do toru Elegant II 4,05 m jasny brąz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4050-j.brąz,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6000-j.brąz, Elegant II</v>
      </c>
      <c r="D124" s="49">
        <v>346119</v>
      </c>
      <c r="E124" s="48" t="str">
        <f>+VLOOKUP(A124,cennik!A:G,2,FALSE)</f>
        <v>SEVROLL maska do toru Elegant II 6 m jasny brąz</v>
      </c>
      <c r="F124" s="48" t="str">
        <f>+VLOOKUP(A124,cennik!A:B,2,FALSE)</f>
        <v>SEVROLL maska do toru Elegant II 6 m jasny brąz</v>
      </c>
      <c r="H124" s="1">
        <v>6000</v>
      </c>
      <c r="I124" s="1" t="str">
        <f>CONCATENATE(H124,"-",J6,", ",J19)</f>
        <v>6000-j.brąz,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1700-j.brąz szczotkowany, Elegant II</v>
      </c>
      <c r="D125" s="49">
        <v>345401</v>
      </c>
      <c r="E125" s="48" t="str">
        <f>+VLOOKUP(A125,cennik!A:G,2,FALSE)</f>
        <v>SEVROLL maska do toru Elegant II 1,7m jasny brąz szczotkowany</v>
      </c>
      <c r="F125" s="48" t="str">
        <f>+VLOOKUP(A125,cennik!A:B,2,FALSE)</f>
        <v>SEVROLL maska do toru Elegant II 1,7m jasny brąz szczotkowany</v>
      </c>
      <c r="H125" s="1">
        <v>1700</v>
      </c>
      <c r="I125" s="1" t="str">
        <f>CONCATENATE(H125,"-",J7,", ",J19)</f>
        <v>1700-j.brąz szczotkowany,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2350-j.brąz szczotkowany, Elegant II</v>
      </c>
      <c r="D126" s="49">
        <v>345404</v>
      </c>
      <c r="E126" s="48" t="str">
        <f>+VLOOKUP(A126,cennik!A:G,2,FALSE)</f>
        <v>SEVROLL maska do toru Elegant II 2,35 m jasny brąz szczotkowany</v>
      </c>
      <c r="F126" s="48" t="str">
        <f>+VLOOKUP(A126,cennik!A:B,2,FALSE)</f>
        <v>SEVROLL maska do toru Elegant II 2,35 m jasny brąz szczotkowany</v>
      </c>
      <c r="H126" s="1">
        <v>2350</v>
      </c>
      <c r="I126" s="1" t="str">
        <f>CONCATENATE(H126,"-",J7,", ",J19)</f>
        <v>2350-j.brąz szczotkowany,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3000-j.brąz szczotkowany, Elegant II</v>
      </c>
      <c r="D127" s="49">
        <v>345410</v>
      </c>
      <c r="E127" s="48" t="str">
        <f>+VLOOKUP(A127,cennik!A:G,2,FALSE)</f>
        <v>SEVROLL maska do toru Elegant II 3 m jasny brąz szczotkowany</v>
      </c>
      <c r="F127" s="48" t="str">
        <f>+VLOOKUP(A127,cennik!A:B,2,FALSE)</f>
        <v>SEVROLL maska do toru Elegant II 3 m jasny brąz szczotkowany</v>
      </c>
      <c r="H127" s="1">
        <v>3000</v>
      </c>
      <c r="I127" s="1" t="str">
        <f>CONCATENATE(H127,"-",J7,", ",J19)</f>
        <v>3000-j.brąz szczotkowany,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4050-j.brąz szczotkowany, Elegant II</v>
      </c>
      <c r="D128" s="49">
        <v>346114</v>
      </c>
      <c r="E128" s="48" t="str">
        <f>+VLOOKUP(A128,cennik!A:G,2,FALSE)</f>
        <v>SEVROLL maska do toru Elegant II 4,05 m jasny brąz szczotkowany</v>
      </c>
      <c r="F128" s="48" t="str">
        <f>+VLOOKUP(A128,cennik!A:B,2,FALSE)</f>
        <v>SEVROLL maska do toru Elegant II 4,05 m jasny brąz szczotkowany</v>
      </c>
      <c r="H128" s="1">
        <v>4050</v>
      </c>
      <c r="I128" s="1" t="str">
        <f>CONCATENATE(H128,"-",J7,", ",J19)</f>
        <v>4050-j.brąz szczotkowany,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6000-j.brąz szczotkowany, Elegant II</v>
      </c>
      <c r="D129" s="49">
        <v>346120</v>
      </c>
      <c r="E129" s="48" t="str">
        <f>+VLOOKUP(A129,cennik!A:G,2,FALSE)</f>
        <v>SEVROLL zaślepka do toru Elegant II 6m jasny brąz szczotkowany</v>
      </c>
      <c r="F129" s="48" t="str">
        <f>+VLOOKUP(A129,cennik!A:B,2,FALSE)</f>
        <v>SEVROLL zaślepka do toru Elegant II 6m jasny brąz szczotkowany</v>
      </c>
      <c r="H129" s="1">
        <v>6000</v>
      </c>
      <c r="I129" s="1" t="str">
        <f>CONCATENATE(H129,"-",J7,", ",J19)</f>
        <v>6000-j.brąz szczotkowany,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1700-szczot.oliwa ciemna, Elegant II</v>
      </c>
      <c r="D130" s="49">
        <v>345402</v>
      </c>
      <c r="E130" s="48" t="str">
        <f>+VLOOKUP(A130,cennik!A:G,2,FALSE)</f>
        <v>SEVROLL zaślepka do toru Elegant II 1,7m koniak szczotkowany</v>
      </c>
      <c r="F130" s="48" t="str">
        <f>+VLOOKUP(A130,cennik!A:B,2,FALSE)</f>
        <v>SEVROLL zaślepka do toru Elegant II 1,7m koniak szczotkowany</v>
      </c>
      <c r="H130" s="1">
        <v>1700</v>
      </c>
      <c r="I130" s="1" t="str">
        <f>CONCATENATE(H130,"-",J8,", ",J19)</f>
        <v>1700-szczot.oliwa ciemna,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2350-szczot.oliwa ciemna, Elegant II</v>
      </c>
      <c r="D131" s="49">
        <v>345405</v>
      </c>
      <c r="E131" s="48" t="str">
        <f>+VLOOKUP(A131,cennik!A:G,2,FALSE)</f>
        <v>SEVROLL zaślepka do toru Elegant II 2,35m koniak szczotkowany</v>
      </c>
      <c r="F131" s="48" t="str">
        <f>+VLOOKUP(A131,cennik!A:B,2,FALSE)</f>
        <v>SEVROLL zaślepka do toru Elegant II 2,35m koniak szczotkowany</v>
      </c>
      <c r="H131" s="1">
        <v>2350</v>
      </c>
      <c r="I131" s="1" t="str">
        <f>CONCATENATE(H131,"-",J8,", ",J19)</f>
        <v>2350-szczot.oliwa ciemna,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3000-szczot.oliwa ciemna, Elegant II</v>
      </c>
      <c r="D132" s="49">
        <v>345411</v>
      </c>
      <c r="E132" s="48" t="str">
        <f>+VLOOKUP(A132,cennik!A:G,2,FALSE)</f>
        <v>SEVROLL zaślepka do toru Elegant II 3m koniak szczotkowany</v>
      </c>
      <c r="F132" s="48" t="str">
        <f>+VLOOKUP(A132,cennik!A:B,2,FALSE)</f>
        <v>SEVROLL zaślepka do toru Elegant II 3m koniak szczotkowany</v>
      </c>
      <c r="H132" s="1">
        <v>3000</v>
      </c>
      <c r="I132" s="1" t="str">
        <f>CONCATENATE(H132,"-",J8,", ",J19)</f>
        <v>3000-szczot.oliwa ciemna,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4050-szczot.oliwa ciemna, Elegant II</v>
      </c>
      <c r="D133" s="49">
        <v>346115</v>
      </c>
      <c r="E133" s="48" t="str">
        <f>+VLOOKUP(A133,cennik!A:G,2,FALSE)</f>
        <v>SEVROLL zaślepka do toru Elegant II 4,05m koniak szczotkowany</v>
      </c>
      <c r="F133" s="48" t="str">
        <f>+VLOOKUP(A133,cennik!A:B,2,FALSE)</f>
        <v>SEVROLL zaślepka do toru Elegant II 4,05m koniak szczotkowany</v>
      </c>
      <c r="H133" s="1">
        <v>4050</v>
      </c>
      <c r="I133" s="1" t="str">
        <f>CONCATENATE(H133,"-",J8,", ",J19)</f>
        <v>4050-szczot.oliwa ciemna,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6000-szczot.oliwa ciemna, Elegant II</v>
      </c>
      <c r="D134" s="49">
        <v>346121</v>
      </c>
      <c r="E134" s="48" t="str">
        <f>+VLOOKUP(A134,cennik!A:G,2,FALSE)</f>
        <v>SEVROLL zaślepka do toru Elegant II 6m koniak szczotkowany</v>
      </c>
      <c r="F134" s="48" t="str">
        <f>+VLOOKUP(A134,cennik!A:B,2,FALSE)</f>
        <v>SEVROLL zaślepka do toru Elegant II 6m koniak szczotkowany</v>
      </c>
      <c r="H134" s="1">
        <v>6000</v>
      </c>
      <c r="I134" s="1" t="str">
        <f>CONCATENATE(H134,"-",J8,", ",J19)</f>
        <v>6000-szczot.oliwa ciemna,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1700-szczot.czarna, Elegant II</v>
      </c>
      <c r="D135" s="49">
        <v>345403</v>
      </c>
      <c r="E135" s="48" t="str">
        <f>+VLOOKUP(A135,cennik!A:G,2,FALSE)</f>
        <v>SEVROLL maska do toru Elegant II 1,7 m czarny szczotkowany</v>
      </c>
      <c r="F135" s="48" t="str">
        <f>+VLOOKUP(A135,cennik!A:B,2,FALSE)</f>
        <v>SEVROLL maska do toru Elegant II 1,7 m czarny szczotkowany</v>
      </c>
      <c r="H135" s="1">
        <v>1700</v>
      </c>
      <c r="I135" s="1" t="str">
        <f>CONCATENATE(H135,"-",J9,", ",J19)</f>
        <v>1700-szczot.czarna,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2350-szczot.czarna, Elegant II</v>
      </c>
      <c r="D136" s="49">
        <v>345407</v>
      </c>
      <c r="E136" s="48" t="str">
        <f>+VLOOKUP(A136,cennik!A:G,2,FALSE)</f>
        <v>SEVROLL zaślepka do toru Elegant II 2,35 m czarny szczotkowany</v>
      </c>
      <c r="F136" s="48" t="str">
        <f>+VLOOKUP(A136,cennik!A:B,2,FALSE)</f>
        <v>SEVROLL zaślepka do toru Elegant II 2,35 m czarny szczotkowany</v>
      </c>
      <c r="H136" s="1">
        <v>2350</v>
      </c>
      <c r="I136" s="1" t="str">
        <f>CONCATENATE(H136,"-",J9,", ",J19)</f>
        <v>2350-szczot.czarna,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3000-szczot.czarna, Elegant II</v>
      </c>
      <c r="D137" s="49">
        <v>345412</v>
      </c>
      <c r="E137" s="48" t="str">
        <f>+VLOOKUP(A137,cennik!A:G,2,FALSE)</f>
        <v>SEVROLL maska do toru Elegant II 3 m czarny szczotkowany</v>
      </c>
      <c r="F137" s="48" t="str">
        <f>+VLOOKUP(A137,cennik!A:B,2,FALSE)</f>
        <v>SEVROLL maska do toru Elegant II 3 m czarny szczotkowany</v>
      </c>
      <c r="H137" s="1">
        <v>3000</v>
      </c>
      <c r="I137" s="1" t="str">
        <f>CONCATENATE(H137,"-",J9,", ",J19)</f>
        <v>3000-szczot.czarna,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4050-szczot.czarna, Elegant II</v>
      </c>
      <c r="D138" s="49">
        <v>346116</v>
      </c>
      <c r="E138" s="48" t="str">
        <f>+VLOOKUP(A138,cennik!A:G,2,FALSE)</f>
        <v>SEVROLL maska do toru Elegant II 4,05 m czarny szczotkowany</v>
      </c>
      <c r="F138" s="48" t="str">
        <f>+VLOOKUP(A138,cennik!A:B,2,FALSE)</f>
        <v>SEVROLL maska do toru Elegant II 4,05 m czarny szczotkowany</v>
      </c>
      <c r="H138" s="1">
        <v>4050</v>
      </c>
      <c r="I138" s="1" t="str">
        <f>CONCATENATE(H138,"-",J9,", ",J19)</f>
        <v>4050-szczot.czarna,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6000-szczot.czarna, Elegant II</v>
      </c>
      <c r="D139" s="49">
        <v>346122</v>
      </c>
      <c r="E139" s="48" t="str">
        <f>+VLOOKUP(A139,cennik!A:G,2,FALSE)</f>
        <v>SEVROLL zaślepka do toru Elegant II 6m czarny szczotkowany</v>
      </c>
      <c r="F139" s="48" t="str">
        <f>+VLOOKUP(A139,cennik!A:B,2,FALSE)</f>
        <v>SEVROLL zaślepka do toru Elegant II 6m czarny szczotkowany</v>
      </c>
      <c r="H139" s="1">
        <v>6000</v>
      </c>
      <c r="I139" s="1" t="str">
        <f>CONCATENATE(H139,"-",J9,", ",J19)</f>
        <v>6000-szczot.czarna,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 biały połysk, Elegant II</v>
      </c>
      <c r="D140" s="49">
        <v>318656</v>
      </c>
      <c r="E140" s="48" t="str">
        <f>+VLOOKUP(A140,cennik!A:G,2,FALSE)</f>
        <v>SEVROLL maska do toru Elegant II 1,7m biały połysk</v>
      </c>
      <c r="F140" s="48" t="str">
        <f>+VLOOKUP(A140,cennik!A:B,2,FALSE)</f>
        <v>SEVROLL maska do toru Elegant II 1,7m biały połysk</v>
      </c>
      <c r="H140" s="1">
        <v>1700</v>
      </c>
      <c r="I140" s="1" t="str">
        <f>CONCATENATE(H140,"-",J15,", ",J19)</f>
        <v>1700- biały połysk,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 biały połysk, Elegant II</v>
      </c>
      <c r="D141" s="49">
        <v>318659</v>
      </c>
      <c r="E141" s="48" t="str">
        <f>+VLOOKUP(A141,cennik!A:G,2,FALSE)</f>
        <v>SEVROLL maska do toru Elegant II 2,35m biały połysk</v>
      </c>
      <c r="F141" s="48" t="str">
        <f>+VLOOKUP(A141,cennik!A:B,2,FALSE)</f>
        <v>SEVROLL maska do toru Elegant II 2,35m biały połysk</v>
      </c>
      <c r="H141" s="1">
        <v>2350</v>
      </c>
      <c r="I141" s="1" t="str">
        <f>CONCATENATE(H141,"-",J15,", ",J19)</f>
        <v>2350- biały połysk,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 biały połysk, Elegant II</v>
      </c>
      <c r="D142" s="49">
        <v>345413</v>
      </c>
      <c r="E142" s="48" t="str">
        <f>+VLOOKUP(A142,cennik!A:G,2,FALSE)</f>
        <v>SEVROLL maska do toru Elegant II 3 m biały połysk</v>
      </c>
      <c r="F142" s="48" t="str">
        <f>+VLOOKUP(A142,cennik!A:B,2,FALSE)</f>
        <v>SEVROLL maska do toru Elegant II 3 m biały połysk</v>
      </c>
      <c r="H142" s="1">
        <v>3000</v>
      </c>
      <c r="I142" s="1" t="str">
        <f>CONCATENATE(H142,"-",J15,", ",J19)</f>
        <v>3000- biały połysk,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 biały połysk, Elegant II</v>
      </c>
      <c r="D143" s="49">
        <v>346117</v>
      </c>
      <c r="E143" s="48" t="str">
        <f>+VLOOKUP(A143,cennik!A:G,2,FALSE)</f>
        <v>SEVROLL maska do toru Elegant II 4,05 m biały połysk</v>
      </c>
      <c r="F143" s="48" t="str">
        <f>+VLOOKUP(A143,cennik!A:B,2,FALSE)</f>
        <v>SEVROLL maska do toru Elegant II 4,05 m biały połysk</v>
      </c>
      <c r="H143" s="1">
        <v>4050</v>
      </c>
      <c r="I143" s="1" t="str">
        <f>CONCATENATE(H143,"-",J15,", ",J19)</f>
        <v>4050- biały połysk,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 biały połysk, Elegant II</v>
      </c>
      <c r="D144" s="49">
        <v>346123</v>
      </c>
      <c r="E144" s="48" t="str">
        <f>+VLOOKUP(A144,cennik!A:G,2,FALSE)</f>
        <v>SEVROLL zaślepka do toru Elegant II 6m biały połysk</v>
      </c>
      <c r="F144" s="48" t="str">
        <f>+VLOOKUP(A144,cennik!A:B,2,FALSE)</f>
        <v>SEVROLL zaślepka do toru Elegant II 6m biały połysk</v>
      </c>
      <c r="H144" s="1">
        <v>6000</v>
      </c>
      <c r="I144" s="1" t="str">
        <f>CONCATENATE(H144,"-",J15,", ",J19)</f>
        <v>6000- biały połysk, Elegant II</v>
      </c>
      <c r="Z144" s="1" t="b">
        <f t="shared" si="4"/>
        <v>1</v>
      </c>
    </row>
    <row r="145" spans="1:26" ht="15" customHeight="1" x14ac:dyDescent="0.3">
      <c r="A145" s="49">
        <v>542674</v>
      </c>
      <c r="B145" s="48"/>
      <c r="C145" s="1" t="str">
        <f>CONCATENATE(H145,"-",J5,", ",J19)</f>
        <v>1700-złoty/mosiądz, Elegant II</v>
      </c>
      <c r="D145" s="49">
        <v>542674</v>
      </c>
      <c r="E145" s="48" t="str">
        <f>+VLOOKUP(A145,cennik!A:G,2,FALSE)</f>
        <v>SEVROLL 06800 zaślepka do toru Elegant II 1,7m złoty/mosiądz</v>
      </c>
      <c r="F145" s="48" t="str">
        <f>+VLOOKUP(A145,cennik!A:B,2,FALSE)</f>
        <v>SEVROLL 06800 zaślepka do toru Elegant II 1,7m złoty/mosiądz</v>
      </c>
      <c r="H145" s="1" t="s">
        <v>464</v>
      </c>
      <c r="I145" s="1" t="str">
        <f>CONCATENATE(H145,"-",J5,", ",J19)</f>
        <v>1700-złoty/mosiądz, Elegant II</v>
      </c>
      <c r="Z145" s="1" t="b">
        <f t="shared" ref="Z145:Z213" si="5">A145=D145</f>
        <v>1</v>
      </c>
    </row>
    <row r="146" spans="1:26" ht="15" customHeight="1" x14ac:dyDescent="0.3">
      <c r="A146" s="49">
        <v>542675</v>
      </c>
      <c r="B146" s="48"/>
      <c r="C146" s="1" t="str">
        <f>CONCATENATE(H146,"-",J5,", ",J19)</f>
        <v>2350-złoty/mosiądz, Elegant II</v>
      </c>
      <c r="D146" s="49">
        <v>542675</v>
      </c>
      <c r="E146" s="48" t="str">
        <f>+VLOOKUP(A146,cennik!A:G,2,FALSE)</f>
        <v>SEVROLL 06801 zaślepka do toru Elegant II 2,35m złoty/mosiądz</v>
      </c>
      <c r="F146" s="48" t="str">
        <f>+VLOOKUP(A146,cennik!A:B,2,FALSE)</f>
        <v>SEVROLL 06801 zaślepka do toru Elegant II 2,35m złoty/mosiądz</v>
      </c>
      <c r="H146" s="1" t="s">
        <v>465</v>
      </c>
      <c r="I146" s="1" t="str">
        <f>CONCATENATE(H146,"-",J5,", ",J19)</f>
        <v>2350-złoty/mosiądz, Elegant II</v>
      </c>
      <c r="Z146" s="1" t="b">
        <f t="shared" si="5"/>
        <v>1</v>
      </c>
    </row>
    <row r="147" spans="1:26" ht="15" customHeight="1" x14ac:dyDescent="0.3">
      <c r="A147" s="49">
        <v>542584</v>
      </c>
      <c r="B147" s="48"/>
      <c r="C147" s="1" t="str">
        <f>CONCATENATE(H147,"-",J5,", ",J19)</f>
        <v>3000-złoty/mosiądz, Elegant II</v>
      </c>
      <c r="D147" s="49">
        <v>542584</v>
      </c>
      <c r="E147" s="48" t="str">
        <f>+VLOOKUP(A147,cennik!A:G,2,FALSE)</f>
        <v>SEVROLL 06802 profil maskujący do toru Elegant II 3m złoty/mosiądz</v>
      </c>
      <c r="F147" s="48" t="str">
        <f>+VLOOKUP(A147,cennik!A:B,2,FALSE)</f>
        <v>SEVROLL 06802 profil maskujący do toru Elegant II 3m złoty/mosiądz</v>
      </c>
      <c r="H147" s="1" t="s">
        <v>466</v>
      </c>
      <c r="I147" s="1" t="str">
        <f>CONCATENATE(H147,"-",J5,", ",J19)</f>
        <v>3000-złoty/mosiądz, Elegant II</v>
      </c>
      <c r="Z147" s="1" t="b">
        <f t="shared" si="5"/>
        <v>1</v>
      </c>
    </row>
    <row r="148" spans="1:26" ht="15" customHeight="1" x14ac:dyDescent="0.3">
      <c r="A148" s="49">
        <v>542590</v>
      </c>
      <c r="B148" s="48"/>
      <c r="C148" s="1" t="str">
        <f>CONCATENATE(H148,"-",J5,", ",J19)</f>
        <v>4050-złoty/mosiądz, Elegant II</v>
      </c>
      <c r="D148" s="49">
        <v>542590</v>
      </c>
      <c r="E148" s="48" t="str">
        <f>+VLOOKUP(A148,cennik!A:G,2,FALSE)</f>
        <v>SEVROLL 04311 profil maskujący do toru Elegant II 4,05m złoty/mosiądz</v>
      </c>
      <c r="F148" s="48" t="str">
        <f>+VLOOKUP(A148,cennik!A:B,2,FALSE)</f>
        <v>SEVROLL 04311 profil maskujący do toru Elegant II 4,05m złoty/mosiądz</v>
      </c>
      <c r="H148" s="1" t="s">
        <v>467</v>
      </c>
      <c r="I148" s="1" t="str">
        <f>CONCATENATE(H148,"-",J5,", ",J19)</f>
        <v>4050-złoty/mosiądz, Elegant II</v>
      </c>
      <c r="Z148" s="1" t="b">
        <f t="shared" si="5"/>
        <v>1</v>
      </c>
    </row>
    <row r="149" spans="1:26" ht="15" customHeight="1" x14ac:dyDescent="0.3">
      <c r="A149" s="49">
        <v>542676</v>
      </c>
      <c r="B149" s="48"/>
      <c r="C149" s="1" t="str">
        <f>CONCATENATE(H149,"-",J5,", ",J19)</f>
        <v>6000-złoty/mosiądz, Elegant II</v>
      </c>
      <c r="D149" s="49">
        <v>542676</v>
      </c>
      <c r="E149" s="48" t="str">
        <f>+VLOOKUP(A149,cennik!A:G,2,FALSE)</f>
        <v>SEVROLL 06804 zaślepka do toru Elegant II 6m złoty/mosiądz</v>
      </c>
      <c r="F149" s="48" t="str">
        <f>+VLOOKUP(A149,cennik!A:B,2,FALSE)</f>
        <v>SEVROLL 06804 zaślepka do toru Elegant II 6m złoty/mosiądz</v>
      </c>
      <c r="H149" s="1">
        <v>6000</v>
      </c>
      <c r="I149" s="1" t="str">
        <f>CONCATENATE(H149,"-",J5,", ",J19)</f>
        <v>6000-złoty/mosiądz,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1700-srebrny,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1700-srebrny,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2350-srebrny,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2350-srebrny,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3000-srebrny,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3000-srebrny,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4050-srebrny,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4050-srebrny,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6000-srebrny,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6000-srebrny,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1700-złoty/mosiądz,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1700-złoty/mosiądz,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2350-złoty/mosiądz,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2350-złoty/mosiądz,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3000-złoty/mosiądz,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3000-złoty/mosiądz,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4050-złoty/mosiądz,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4050-złoty/mosiądz,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6000-złoty/mosiądz,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6000-złoty/mosiądz,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1700-j.brąz,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1700-j.brąz,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2350-j.brąz,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2350-j.brąz,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3000-j.brąz,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3000-j.brąz,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4050-j.brąz,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4050-j.brąz,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6000-j.brąz,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6000-j.brąz,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1700-j.brąz szczotkowany,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1700-j.brąz szczotkowany,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2350-j.brąz szczotkowany,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2350-j.brąz szczotkowany,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3000-j.brąz szczotkowany,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3000-j.brąz szczotkowany,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4050-j.brąz szczotkowany,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4050-j.brąz szczotkowany,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6000-j.brąz szczotkowany,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6000-j.brąz szczotkowany,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1700-szczot.oliwa ciemna,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1700-szczot.oliwa ciemna,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2350-szczot.oliwa ciemna,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2350-szczot.oliwa ciemna,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3000-szczot.oliwa ciemna,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3000-szczot.oliwa ciemna,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4050-szczot.oliwa ciemna,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4050-szczot.oliwa ciemna,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6000-szczot.oliwa ciemna,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6000-szczot.oliwa ciemna,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1700-szczot.czarna,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1700-szczot.czarna,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2350-szczot.czarna,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2350-szczot.czarna,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3000-szczot.czarna,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3000-szczot.czarna,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4050-szczot.czarna,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4050-szczot.czarna,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6000-szczot.czarna,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6000-szczot.czarna,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 biały połysk,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 biały połysk,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 biały połysk,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 biały połysk,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 biały połysk,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 biały połysk,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 biały połysk,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 biały połysk,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 biały połysk,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 biały połysk, Gemini</v>
      </c>
      <c r="Z184" s="1" t="b">
        <f t="shared" si="5"/>
        <v>1</v>
      </c>
    </row>
    <row r="185" spans="1:26" ht="15" customHeight="1" x14ac:dyDescent="0.3">
      <c r="A185" s="418">
        <v>405427</v>
      </c>
      <c r="B185" s="417"/>
      <c r="C185" s="1" t="str">
        <f>CONCATENATE(H185,"-",J16,", ",J19)</f>
        <v>1700-czarny połysk, Elegant II</v>
      </c>
      <c r="D185" s="418">
        <v>405427</v>
      </c>
      <c r="E185" s="419" t="str">
        <f>+VLOOKUP(A185,cennik!A:G,2,FALSE)</f>
        <v>SEVROLL zaślepka do toru Elegant II 1,7m czarny połysk</v>
      </c>
      <c r="F185" s="419" t="str">
        <f>+VLOOKUP(A185,cennik!A:B,2,FALSE)</f>
        <v>SEVROLL zaślepka do toru Elegant II 1,7m czarny połysk</v>
      </c>
      <c r="G185" s="417"/>
      <c r="H185" s="417">
        <v>1700</v>
      </c>
      <c r="I185" s="1" t="str">
        <f>CONCATENATE(H185,"-",J16,", ",J19)</f>
        <v>1700-czarny połysk, Elegant II</v>
      </c>
      <c r="Z185" s="1" t="b">
        <f t="shared" si="5"/>
        <v>1</v>
      </c>
    </row>
    <row r="186" spans="1:26" ht="15" customHeight="1" x14ac:dyDescent="0.3">
      <c r="A186" s="418">
        <v>398553</v>
      </c>
      <c r="B186" s="417"/>
      <c r="C186" s="1" t="str">
        <f>CONCATENATE(H186,"-",J16,", ",J19)</f>
        <v>2350-czarny połysk, Elegant II</v>
      </c>
      <c r="D186" s="418">
        <v>398553</v>
      </c>
      <c r="E186" s="419" t="str">
        <f>+VLOOKUP(A186,cennik!A:G,2,FALSE)</f>
        <v>SEVROLL zaślepka do toru Elegant II 2,35m czarny połysk</v>
      </c>
      <c r="F186" s="419" t="str">
        <f>+VLOOKUP(A186,cennik!A:B,2,FALSE)</f>
        <v>SEVROLL zaślepka do toru Elegant II 2,35m czarny połysk</v>
      </c>
      <c r="G186" s="417"/>
      <c r="H186" s="417">
        <v>2350</v>
      </c>
      <c r="I186" s="1" t="str">
        <f>CONCATENATE(H186,"-",J16,", ",J19)</f>
        <v>2350-czarny połysk, Elegant II</v>
      </c>
      <c r="Z186" s="1" t="b">
        <f t="shared" si="5"/>
        <v>1</v>
      </c>
    </row>
    <row r="187" spans="1:26" ht="15" customHeight="1" x14ac:dyDescent="0.3">
      <c r="A187" s="418">
        <v>405428</v>
      </c>
      <c r="B187" s="417"/>
      <c r="C187" s="1" t="str">
        <f>CONCATENATE(H187,"-",J16,", ",J19)</f>
        <v>3000-czarny połysk, Elegant II</v>
      </c>
      <c r="D187" s="418">
        <v>405428</v>
      </c>
      <c r="E187" s="419" t="str">
        <f>+VLOOKUP(A187,cennik!A:G,2,FALSE)</f>
        <v>SEVROLL zaślepka do toru Elegant II 3m czarny połysk</v>
      </c>
      <c r="F187" s="419" t="str">
        <f>+VLOOKUP(A187,cennik!A:B,2,FALSE)</f>
        <v>SEVROLL zaślepka do toru Elegant II 3m czarny połysk</v>
      </c>
      <c r="G187" s="417"/>
      <c r="H187" s="417">
        <v>3000</v>
      </c>
      <c r="I187" s="1" t="str">
        <f>CONCATENATE(H187,"-",J16,", ",J19)</f>
        <v>3000-czarny połysk, Elegant II</v>
      </c>
      <c r="Z187" s="1" t="b">
        <f t="shared" si="5"/>
        <v>1</v>
      </c>
    </row>
    <row r="188" spans="1:26" ht="15" customHeight="1" x14ac:dyDescent="0.3">
      <c r="A188" s="418">
        <v>405429</v>
      </c>
      <c r="B188" s="417"/>
      <c r="C188" s="1" t="str">
        <f>CONCATENATE(H188,"-",J16,", ",J19)</f>
        <v>4050-czarny połysk, Elegant II</v>
      </c>
      <c r="D188" s="418">
        <v>405429</v>
      </c>
      <c r="E188" s="419" t="str">
        <f>+VLOOKUP(A188,cennik!A:G,2,FALSE)</f>
        <v>SEVROLL zaślepka do toru Elegant II 4,05m czarny połysk</v>
      </c>
      <c r="F188" s="419" t="str">
        <f>+VLOOKUP(A188,cennik!A:B,2,FALSE)</f>
        <v>SEVROLL zaślepka do toru Elegant II 4,05m czarny połysk</v>
      </c>
      <c r="G188" s="417"/>
      <c r="H188" s="417">
        <v>4050</v>
      </c>
      <c r="I188" s="1" t="str">
        <f>CONCATENATE(H188,"-",J16,", ",J19)</f>
        <v>4050-czarny połysk, Elegant II</v>
      </c>
      <c r="Z188" s="1" t="b">
        <f t="shared" si="5"/>
        <v>1</v>
      </c>
    </row>
    <row r="189" spans="1:26" ht="15" customHeight="1" x14ac:dyDescent="0.3">
      <c r="A189" s="418">
        <v>405430</v>
      </c>
      <c r="B189" s="417"/>
      <c r="C189" s="1" t="str">
        <f>CONCATENATE(H189,"-",J16,", ",J19)</f>
        <v>6000-czarny połysk, Elegant II</v>
      </c>
      <c r="D189" s="418">
        <v>405430</v>
      </c>
      <c r="E189" s="419" t="str">
        <f>+VLOOKUP(A189,cennik!A:G,2,FALSE)</f>
        <v>SEVROLL zaślepka do toru Elegant II 6m czarny połysk</v>
      </c>
      <c r="F189" s="419" t="str">
        <f>+VLOOKUP(A189,cennik!A:B,2,FALSE)</f>
        <v>SEVROLL zaślepka do toru Elegant II 6m czarny połysk</v>
      </c>
      <c r="G189" s="417"/>
      <c r="H189" s="417">
        <v>6000</v>
      </c>
      <c r="I189" s="1" t="str">
        <f>CONCATENATE(H189,"-",J16,", ",J19)</f>
        <v>6000-czarny połysk, Elegant II</v>
      </c>
      <c r="Z189" s="1" t="b">
        <f t="shared" si="5"/>
        <v>1</v>
      </c>
    </row>
    <row r="190" spans="1:26" ht="15" customHeight="1" x14ac:dyDescent="0.3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zaślepka do toru Elegant II 1,7m grafit</v>
      </c>
      <c r="F190" s="419" t="str">
        <f>+VLOOKUP(A190,cennik!A:B,2,FALSE)</f>
        <v>SEVROLL 06048 zaślepka do toru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zaślepka do toru Elegant II 2,35m grafit</v>
      </c>
      <c r="F191" s="419" t="str">
        <f>+VLOOKUP(A191,cennik!A:B,2,FALSE)</f>
        <v>SEVROLL 06049 zaślepka do toru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maskownica do toru Elegant II 3m grafit</v>
      </c>
      <c r="F192" s="419" t="str">
        <f>+VLOOKUP(A192,cennik!A:B,2,FALSE)</f>
        <v>SEVROLL 06050 maskownica do toru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zaślepka do toru Elegant II 4,05m grafit</v>
      </c>
      <c r="F193" s="419" t="str">
        <f>+VLOOKUP(A193,cennik!A:B,2,FALSE)</f>
        <v>SEVROLL 06051 zaślepka do toru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maskownica do toru Elegant II 6m grafit</v>
      </c>
      <c r="F194" s="419" t="str">
        <f>+VLOOKUP(A194,cennik!A:B,2,FALSE)</f>
        <v>SEVROLL 06052 maskownica do toru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18">
        <v>452751</v>
      </c>
      <c r="B195" s="417"/>
      <c r="C195" s="1" t="str">
        <f>CONCATENATE(H195,"-",J17,", ",J19)</f>
        <v>1700- czarny mat, Elegant II</v>
      </c>
      <c r="D195" s="418">
        <v>452751</v>
      </c>
      <c r="E195" s="419" t="str">
        <f>+VLOOKUP(A195,cennik!A:G,2,FALSE)</f>
        <v>SEVROLL zaślepka do toru Elegant II 1,7m czarny mat</v>
      </c>
      <c r="F195" s="419" t="str">
        <f>+VLOOKUP(A195,cennik!A:B,2,FALSE)</f>
        <v>SEVROLL zaślepka do toru Elegant II 1,7m czarny mat</v>
      </c>
      <c r="G195" s="417"/>
      <c r="H195" s="417">
        <v>1700</v>
      </c>
      <c r="I195" s="1" t="str">
        <f>CONCATENATE(H195,"-",J17,", ",J19)</f>
        <v>1700- czarny mat, Elegant II</v>
      </c>
      <c r="Z195" s="1" t="b">
        <f t="shared" si="5"/>
        <v>1</v>
      </c>
    </row>
    <row r="196" spans="1:26" ht="15" customHeight="1" x14ac:dyDescent="0.3">
      <c r="A196" s="417">
        <v>409679</v>
      </c>
      <c r="B196" s="417"/>
      <c r="C196" s="1" t="str">
        <f>CONCATENATE(H196,"-",J17,", ",J19)</f>
        <v>2350- czarny mat, Elegant II</v>
      </c>
      <c r="D196" s="417">
        <v>409679</v>
      </c>
      <c r="E196" s="419" t="str">
        <f>+VLOOKUP(A196,cennik!A:G,2,FALSE)</f>
        <v>SEVROLL 05318 zaślepka do toru Elegant II 2,35m czarny mat</v>
      </c>
      <c r="F196" s="419" t="str">
        <f>+VLOOKUP(A196,cennik!A:B,2,FALSE)</f>
        <v>SEVROLL 05318 zaślepka do toru Elegant II 2,35m czarny mat</v>
      </c>
      <c r="G196" s="417"/>
      <c r="H196" s="417">
        <v>2350</v>
      </c>
      <c r="I196" s="1" t="str">
        <f>CONCATENATE(H196,"-",J17,", ",J19)</f>
        <v>2350- czarny mat, Elegant II</v>
      </c>
      <c r="Z196" s="1" t="b">
        <f t="shared" si="5"/>
        <v>1</v>
      </c>
    </row>
    <row r="197" spans="1:26" ht="15" customHeight="1" x14ac:dyDescent="0.3">
      <c r="A197" s="417">
        <v>414086</v>
      </c>
      <c r="B197" s="417"/>
      <c r="C197" s="1" t="str">
        <f>CONCATENATE(H197,"-",J17,", ",J19)</f>
        <v>3000- czarny mat, Elegant II</v>
      </c>
      <c r="D197" s="417">
        <v>414086</v>
      </c>
      <c r="E197" s="419" t="str">
        <f>+VLOOKUP(A197,cennik!A:G,2,FALSE)</f>
        <v>SEVROLL maskownica do toru Elegant II 3m czarny mat</v>
      </c>
      <c r="F197" s="419" t="str">
        <f>+VLOOKUP(A197,cennik!A:B,2,FALSE)</f>
        <v>SEVROLL maskownica do toru Elegant II 3m czarny mat</v>
      </c>
      <c r="G197" s="417"/>
      <c r="H197" s="417">
        <v>3000</v>
      </c>
      <c r="I197" s="1" t="str">
        <f>CONCATENATE(H197,"-",J17,", ",J19)</f>
        <v>3000- czarny mat, Elegant II</v>
      </c>
      <c r="Z197" s="1" t="b">
        <f t="shared" si="5"/>
        <v>1</v>
      </c>
    </row>
    <row r="198" spans="1:26" ht="15" customHeight="1" x14ac:dyDescent="0.3">
      <c r="A198" s="417">
        <v>409680</v>
      </c>
      <c r="B198" s="417"/>
      <c r="C198" s="1" t="str">
        <f>CONCATENATE(H198,"-",J17,", ",J19)</f>
        <v>4050- czarny mat, Elegant II</v>
      </c>
      <c r="D198" s="417">
        <v>409680</v>
      </c>
      <c r="E198" s="419" t="str">
        <f>+VLOOKUP(A198,cennik!A:G,2,FALSE)</f>
        <v>SEVROLL 05320 zaślepka do toru Elegant II 4,05m czarny mat</v>
      </c>
      <c r="F198" s="419" t="str">
        <f>+VLOOKUP(A198,cennik!A:B,2,FALSE)</f>
        <v>SEVROLL 05320 zaślepka do toru Elegant II 4,05m czarny mat</v>
      </c>
      <c r="G198" s="417"/>
      <c r="H198" s="417">
        <v>4050</v>
      </c>
      <c r="I198" s="1" t="str">
        <f>CONCATENATE(H198,"-",J17,", ",J19)</f>
        <v>4050- czarny mat, Elegant II</v>
      </c>
      <c r="Z198" s="1" t="b">
        <f t="shared" si="5"/>
        <v>1</v>
      </c>
    </row>
    <row r="199" spans="1:26" ht="15" customHeight="1" x14ac:dyDescent="0.3">
      <c r="A199" s="418">
        <v>452757</v>
      </c>
      <c r="B199" s="417"/>
      <c r="C199" s="1" t="str">
        <f>CONCATENATE(H199,"-",J17,", ",J19)</f>
        <v>6000- czarny mat, Elegant II</v>
      </c>
      <c r="D199" s="418">
        <v>452757</v>
      </c>
      <c r="E199" s="419" t="str">
        <f>+VLOOKUP(A199,cennik!A:G,2,FALSE)</f>
        <v>SEVROLL maskownica do toru Elegant II 6m czarny mat</v>
      </c>
      <c r="F199" s="419" t="str">
        <f>+VLOOKUP(A199,cennik!A:B,2,FALSE)</f>
        <v>SEVROLL maskownica do toru Elegant II 6m czarny mat</v>
      </c>
      <c r="G199" s="417"/>
      <c r="H199" s="417">
        <v>6000</v>
      </c>
      <c r="I199" s="1" t="str">
        <f>CONCATENATE(H199,"-",J17,", ",J19)</f>
        <v>6000- czarny mat, Elegant II</v>
      </c>
      <c r="Z199" s="1" t="b">
        <f t="shared" si="5"/>
        <v>1</v>
      </c>
    </row>
    <row r="200" spans="1:26" s="437" customFormat="1" ht="15" customHeight="1" x14ac:dyDescent="0.3">
      <c r="A200" s="436">
        <v>394831</v>
      </c>
      <c r="C200" s="1" t="str">
        <f>CONCATENATE(H200,"-",J18,", ",J19)</f>
        <v>6000-biały mat, Elegant II</v>
      </c>
      <c r="D200" s="436">
        <v>394831</v>
      </c>
      <c r="E200" s="419" t="str">
        <f>+VLOOKUP(A200,cennik!A:G,2,FALSE)</f>
        <v>SEVROLL zaślepka do toru Elegant II 6m biały mat</v>
      </c>
      <c r="F200" s="419" t="str">
        <f>+VLOOKUP(A200,cennik!A:B,2,FALSE)</f>
        <v>SEVROLL zaślepka do toru Elegant II 6m biały mat</v>
      </c>
      <c r="H200" s="437">
        <v>6000</v>
      </c>
      <c r="I200" s="1" t="str">
        <f>CONCATENATE(H200,"-",J18,", ",J19)</f>
        <v>6000-biały mat, Elegant II</v>
      </c>
      <c r="Z200" s="1" t="b">
        <f t="shared" si="5"/>
        <v>1</v>
      </c>
    </row>
    <row r="201" spans="1:26" s="437" customFormat="1" ht="15" customHeight="1" x14ac:dyDescent="0.3">
      <c r="A201" s="436">
        <v>394848</v>
      </c>
      <c r="C201" s="1" t="str">
        <f>CONCATENATE(H201,"-",J18,", ",J19)</f>
        <v>1700-biały mat, Elegant II</v>
      </c>
      <c r="D201" s="436">
        <v>394848</v>
      </c>
      <c r="E201" s="419" t="str">
        <f>+VLOOKUP(A201,cennik!A:G,2,FALSE)</f>
        <v>SEVROLL zaślepka do toru Elegant II 1,7m biały matowy</v>
      </c>
      <c r="F201" s="419" t="str">
        <f>+VLOOKUP(A201,cennik!A:B,2,FALSE)</f>
        <v>SEVROLL zaślepka do toru Elegant II 1,7m biały matowy</v>
      </c>
      <c r="H201" s="437">
        <v>1700</v>
      </c>
      <c r="I201" s="1" t="str">
        <f>CONCATENATE(H201,"-",J18,", ",J19)</f>
        <v>1700-biały mat, Elegant II</v>
      </c>
      <c r="Z201" s="1" t="b">
        <f t="shared" si="5"/>
        <v>1</v>
      </c>
    </row>
    <row r="202" spans="1:26" s="437" customFormat="1" ht="15" customHeight="1" x14ac:dyDescent="0.3">
      <c r="A202" s="436">
        <v>395039</v>
      </c>
      <c r="C202" s="1" t="str">
        <f>CONCATENATE(H202,"-",J18,", ",J19)</f>
        <v>2350-biały mat, Elegant II</v>
      </c>
      <c r="D202" s="436">
        <v>395039</v>
      </c>
      <c r="E202" s="419" t="str">
        <f>+VLOOKUP(A202,cennik!A:G,2,FALSE)</f>
        <v>SEVROLL zaślepka do toru Elegant II 2,35m biały matowy</v>
      </c>
      <c r="F202" s="419" t="str">
        <f>+VLOOKUP(A202,cennik!A:B,2,FALSE)</f>
        <v>SEVROLL zaślepka do toru Elegant II 2,35m biały matowy</v>
      </c>
      <c r="H202" s="437">
        <v>2350</v>
      </c>
      <c r="I202" s="1" t="str">
        <f>CONCATENATE(H202,"-",J18,", ",J19)</f>
        <v>2350-biały mat, Elegant II</v>
      </c>
      <c r="Z202" s="1" t="b">
        <f t="shared" si="5"/>
        <v>1</v>
      </c>
    </row>
    <row r="203" spans="1:26" s="437" customFormat="1" ht="15" customHeight="1" x14ac:dyDescent="0.3">
      <c r="A203" s="436">
        <v>395041</v>
      </c>
      <c r="C203" s="1" t="str">
        <f>CONCATENATE(H203,"-",J18,", ",J19)</f>
        <v>3000-biały mat, Elegant II</v>
      </c>
      <c r="D203" s="436">
        <v>395041</v>
      </c>
      <c r="E203" s="419" t="str">
        <f>+VLOOKUP(A203,cennik!A:G,2,FALSE)</f>
        <v>SEVROLL zaślepka do toru Elegant II 3m biały matowy</v>
      </c>
      <c r="F203" s="419" t="str">
        <f>+VLOOKUP(A203,cennik!A:B,2,FALSE)</f>
        <v>SEVROLL zaślepka do toru Elegant II 3m biały matowy</v>
      </c>
      <c r="H203" s="437">
        <v>3000</v>
      </c>
      <c r="I203" s="1" t="str">
        <f>CONCATENATE(H203,"-",J18,", ",J19)</f>
        <v>3000-biały mat, Elegant II</v>
      </c>
      <c r="Z203" s="1" t="b">
        <f t="shared" si="5"/>
        <v>1</v>
      </c>
    </row>
    <row r="204" spans="1:26" s="437" customFormat="1" ht="15" customHeight="1" x14ac:dyDescent="0.3">
      <c r="A204" s="436">
        <v>395042</v>
      </c>
      <c r="C204" s="1" t="str">
        <f>CONCATENATE(H204,"-",J18,", ",J19)</f>
        <v>4050-biały mat, Elegant II</v>
      </c>
      <c r="D204" s="436">
        <v>395042</v>
      </c>
      <c r="E204" s="419" t="str">
        <f>+VLOOKUP(A204,cennik!A:G,2,FALSE)</f>
        <v>SEVROLL zaślepka do toru Elegant II 4,05m biały matowy</v>
      </c>
      <c r="F204" s="419" t="str">
        <f>+VLOOKUP(A204,cennik!A:B,2,FALSE)</f>
        <v>SEVROLL zaślepka do toru Elegant II 4,05m biały matowy</v>
      </c>
      <c r="H204" s="437">
        <v>4050</v>
      </c>
      <c r="I204" s="1" t="str">
        <f>CONCATENATE(H204,"-",J18,", ",J19)</f>
        <v>4050-biały mat, Elegant II</v>
      </c>
      <c r="Z204" s="1" t="b">
        <f t="shared" si="5"/>
        <v>1</v>
      </c>
    </row>
    <row r="205" spans="1:26" s="437" customFormat="1" ht="15" customHeight="1" x14ac:dyDescent="0.3">
      <c r="A205" s="196">
        <v>526524</v>
      </c>
      <c r="C205" s="1" t="str">
        <f>CONCATENATE(H205,"-",J22,", ",J19)</f>
        <v>1700-czarny lakier strukturalny, Elegant II</v>
      </c>
      <c r="D205" s="196">
        <v>526524</v>
      </c>
      <c r="E205" s="419" t="str">
        <f>+VLOOKUP(A205,cennik!A:G,2,FALSE)</f>
        <v>SEVROLL 06301 zaślepka do toru Elegant II 1,7m czarny lakier strukturalny</v>
      </c>
      <c r="F205" s="419" t="str">
        <f>+VLOOKUP(A205,cennik!A:B,2,FALSE)</f>
        <v>SEVROLL 06301 zaślepka do toru Elegant II 1,7m czarny lakier strukturalny</v>
      </c>
      <c r="H205" s="437">
        <v>1700</v>
      </c>
      <c r="I205" s="1" t="str">
        <f>CONCATENATE(H205,"-",J22,", ",J19)</f>
        <v>1700-czarny lakier strukturalny, Elegant II</v>
      </c>
      <c r="Z205" s="1"/>
    </row>
    <row r="206" spans="1:26" s="437" customFormat="1" ht="15" customHeight="1" x14ac:dyDescent="0.3">
      <c r="A206" s="196">
        <v>526525</v>
      </c>
      <c r="C206" s="1" t="str">
        <f>CONCATENATE(H206,"-",J22,", ",J19)</f>
        <v>2350-czarny lakier strukturalny, Elegant II</v>
      </c>
      <c r="D206" s="196">
        <v>526525</v>
      </c>
      <c r="E206" s="419" t="str">
        <f>+VLOOKUP(A206,cennik!A:G,2,FALSE)</f>
        <v>SEVROLL 06302 zaślepka do toru Elegant II 2,35m czarny lakier strukturalny</v>
      </c>
      <c r="F206" s="419" t="str">
        <f>+VLOOKUP(A206,cennik!A:B,2,FALSE)</f>
        <v>SEVROLL 06302 zaślepka do toru Elegant II 2,35m czarny lakier strukturalny</v>
      </c>
      <c r="H206" s="437">
        <v>2350</v>
      </c>
      <c r="I206" s="1" t="str">
        <f>CONCATENATE(H206,"-",J22,", ",J19)</f>
        <v>2350-czarny lakier strukturalny, Elegant II</v>
      </c>
      <c r="Z206" s="1"/>
    </row>
    <row r="207" spans="1:26" s="437" customFormat="1" ht="15" customHeight="1" x14ac:dyDescent="0.3">
      <c r="A207" s="196">
        <v>526526</v>
      </c>
      <c r="C207" s="1" t="str">
        <f>CONCATENATE(H207,"-",J22,", ",J19)</f>
        <v>3000-czarny lakier strukturalny, Elegant II</v>
      </c>
      <c r="D207" s="196">
        <v>526526</v>
      </c>
      <c r="E207" s="419" t="str">
        <f>+VLOOKUP(A207,cennik!A:G,2,FALSE)</f>
        <v>SEVROLL 06303 maskownica do toru Elegant II 3m czarny lakier strukturalny</v>
      </c>
      <c r="F207" s="419" t="str">
        <f>+VLOOKUP(A207,cennik!A:B,2,FALSE)</f>
        <v>SEVROLL 06303 maskownica do toru Elegant II 3m czarny lakier strukturalny</v>
      </c>
      <c r="H207" s="437">
        <v>3000</v>
      </c>
      <c r="I207" s="1" t="str">
        <f>CONCATENATE(H207,"-",J22,", ",J19)</f>
        <v>3000-czarny lakier strukturalny, Elegant II</v>
      </c>
      <c r="Z207" s="1"/>
    </row>
    <row r="208" spans="1:26" s="437" customFormat="1" ht="15" customHeight="1" x14ac:dyDescent="0.3">
      <c r="A208" s="196">
        <v>526527</v>
      </c>
      <c r="C208" s="1" t="str">
        <f>CONCATENATE(H208,"-",J22,", ",J19)</f>
        <v>4050-czarny lakier strukturalny, Elegant II</v>
      </c>
      <c r="D208" s="196">
        <v>526527</v>
      </c>
      <c r="E208" s="419" t="str">
        <f>+VLOOKUP(A208,cennik!A:G,2,FALSE)</f>
        <v>SEVROLL 06304 zaślepka do toru Elegant II 4,05m czarny lakier strukturalny</v>
      </c>
      <c r="F208" s="419" t="str">
        <f>+VLOOKUP(A208,cennik!A:B,2,FALSE)</f>
        <v>SEVROLL 06304 zaślepka do toru Elegant II 4,05m czarny lakier strukturalny</v>
      </c>
      <c r="H208" s="437">
        <v>4050</v>
      </c>
      <c r="I208" s="1" t="str">
        <f>CONCATENATE(H208,"-",J22,", ",J19)</f>
        <v>4050-czarny lakier strukturalny, Elegant II</v>
      </c>
      <c r="Z208" s="1"/>
    </row>
    <row r="209" spans="1:26" s="437" customFormat="1" ht="15" customHeight="1" x14ac:dyDescent="0.3">
      <c r="A209" s="196">
        <v>526528</v>
      </c>
      <c r="C209" s="1" t="str">
        <f>CONCATENATE(H209,"-",J22,", ",J19)</f>
        <v>6000-czarny lakier strukturalny, Elegant II</v>
      </c>
      <c r="D209" s="196">
        <v>526528</v>
      </c>
      <c r="E209" s="419" t="str">
        <f>+VLOOKUP(A209,cennik!A:G,2,FALSE)</f>
        <v>SEVROLL 06157 maskownica do toru Elegant II 6m czarny lakier strukturalny</v>
      </c>
      <c r="F209" s="419" t="str">
        <f>+VLOOKUP(A209,cennik!A:B,2,FALSE)</f>
        <v>SEVROLL 06157 maskownica do toru Elegant II 6m czarny lakier strukturalny</v>
      </c>
      <c r="H209" s="437">
        <v>6000</v>
      </c>
      <c r="I209" s="1" t="str">
        <f>CONCATENATE(H209,"-",J22,", ",J19)</f>
        <v>6000-czarny lakier strukturalny,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1700-srebrny</v>
      </c>
      <c r="D211" s="49">
        <v>89106</v>
      </c>
      <c r="E211" s="48" t="str">
        <f>+VLOOKUP(A211,cennik!A:G,2,FALSE)</f>
        <v>SEVROLL 01023 Gemini horní vedení 1,7m stříbrná</v>
      </c>
      <c r="F211" s="48" t="str">
        <f>+VLOOKUP(A211,cennik!A:B,2,FALSE)</f>
        <v>SEVROLL 01023 Gemini horní vedení 1,7m stříbrná</v>
      </c>
      <c r="G211" s="1" t="e">
        <f>+VLOOKUP(A211,#REF!,4,FALSE)</f>
        <v>#REF!</v>
      </c>
      <c r="H211" s="1">
        <v>1700</v>
      </c>
      <c r="I211" s="1" t="str">
        <f>CONCATENATE(H211,"-",J4)</f>
        <v>1700-srebrny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2350-srebrny</v>
      </c>
      <c r="D212" s="49">
        <v>89109</v>
      </c>
      <c r="E212" s="48" t="str">
        <f>+VLOOKUP(A212,cennik!A:G,2,FALSE)</f>
        <v>SEVROLL 01025 Gemini horní vedení 2,35m stříbrná</v>
      </c>
      <c r="F212" s="48" t="str">
        <f>+VLOOKUP(A212,cennik!A:B,2,FALSE)</f>
        <v>SEVROLL 01025 Gemini horní vedení 2,35m stříbrná</v>
      </c>
      <c r="G212" s="1" t="e">
        <f>+VLOOKUP(A212,#REF!,4,FALSE)</f>
        <v>#REF!</v>
      </c>
      <c r="H212" s="1">
        <v>2350</v>
      </c>
      <c r="I212" s="1" t="str">
        <f>CONCATENATE(H212,"-",J4)</f>
        <v>2350-srebrny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3000-srebrny</v>
      </c>
      <c r="D213" s="49">
        <v>89112</v>
      </c>
      <c r="E213" s="48" t="str">
        <f>+VLOOKUP(A213,cennik!A:G,2,FALSE)</f>
        <v>SEVROLL 01026 Gemini horní vedení 3m stříbrná</v>
      </c>
      <c r="F213" s="48" t="str">
        <f>+VLOOKUP(A213,cennik!A:B,2,FALSE)</f>
        <v>SEVROLL 01026 Gemini horní vedení 3m stříbrná</v>
      </c>
      <c r="G213" s="1" t="e">
        <f>+VLOOKUP(A213,#REF!,4,FALSE)</f>
        <v>#REF!</v>
      </c>
      <c r="H213" s="1">
        <v>3000</v>
      </c>
      <c r="I213" s="1" t="str">
        <f>CONCATENATE(H213,"-",J4)</f>
        <v>3000-srebrny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4050-srebrny</v>
      </c>
      <c r="D214" s="49">
        <v>89115</v>
      </c>
      <c r="E214" s="48" t="str">
        <f>+VLOOKUP(A214,cennik!A:G,2,FALSE)</f>
        <v>SEVROLL 01469 Gemini horní vedení 4,05m stříbrná</v>
      </c>
      <c r="F214" s="48" t="str">
        <f>+VLOOKUP(A214,cennik!A:B,2,FALSE)</f>
        <v>SEVROLL 01469 Gemini horní vedení 4,05m stříbrná</v>
      </c>
      <c r="G214" s="1" t="e">
        <f>+VLOOKUP(A214,#REF!,4,FALSE)</f>
        <v>#REF!</v>
      </c>
      <c r="H214" s="1">
        <v>4050</v>
      </c>
      <c r="I214" s="1" t="str">
        <f>CONCATENATE(H214,"-",J4)</f>
        <v>4050-srebrny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6000-srebrny</v>
      </c>
      <c r="D215" s="49">
        <v>134933</v>
      </c>
      <c r="E215" s="48" t="str">
        <f>+VLOOKUP(A215,cennik!A:G,2,FALSE)</f>
        <v>SEVROLL Gemini tor górny 6m, srebrny</v>
      </c>
      <c r="F215" s="48" t="str">
        <f>+VLOOKUP(A215,cennik!A:B,2,FALSE)</f>
        <v>SEVROLL Gemini tor górny 6m, srebrny</v>
      </c>
      <c r="H215" s="1">
        <v>6000</v>
      </c>
      <c r="I215" s="1" t="str">
        <f>CONCATENATE(H215,"-",J4)</f>
        <v>6000-srebrny</v>
      </c>
      <c r="Z215" s="1" t="b">
        <f t="shared" si="6"/>
        <v>1</v>
      </c>
    </row>
    <row r="216" spans="1:26" ht="15" customHeight="1" x14ac:dyDescent="0.3">
      <c r="A216" s="49">
        <v>542704</v>
      </c>
      <c r="B216" s="48"/>
      <c r="C216" s="1" t="str">
        <f>CONCATENATE(H216,"-",J5)</f>
        <v>1700-złoty/mosiądz</v>
      </c>
      <c r="D216" s="49">
        <v>542704</v>
      </c>
      <c r="E216" s="48" t="str">
        <f>+VLOOKUP(A216,cennik!A:G,2,FALSE)</f>
        <v>SEVROLL 06805 Gemini tor górny 1,7m złoty/mosiądz</v>
      </c>
      <c r="F216" s="48" t="str">
        <f>+VLOOKUP(A216,cennik!A:B,2,FALSE)</f>
        <v>SEVROLL 06805 Gemini tor górny 1,7m złoty/mosiądz</v>
      </c>
      <c r="G216" s="1" t="e">
        <f>+VLOOKUP(A216,#REF!,4,FALSE)</f>
        <v>#REF!</v>
      </c>
      <c r="H216" s="1">
        <v>1700</v>
      </c>
      <c r="I216" s="1" t="str">
        <f>CONCATENATE(H216,"-",J5)</f>
        <v>1700-złoty/mosiądz</v>
      </c>
      <c r="Z216" s="1" t="b">
        <f t="shared" si="6"/>
        <v>1</v>
      </c>
    </row>
    <row r="217" spans="1:26" ht="15" customHeight="1" x14ac:dyDescent="0.3">
      <c r="A217" s="49">
        <v>542705</v>
      </c>
      <c r="B217" s="48"/>
      <c r="C217" s="1" t="str">
        <f>CONCATENATE(H217,"-",J5)</f>
        <v>2350-złoty/mosiądz</v>
      </c>
      <c r="D217" s="49">
        <v>542705</v>
      </c>
      <c r="E217" s="48" t="str">
        <f>+VLOOKUP(A217,cennik!A:G,2,FALSE)</f>
        <v>SEVROLL 06806 Gemini horní vedení 2,35m zlatá/mosiądz</v>
      </c>
      <c r="F217" s="48" t="str">
        <f>+VLOOKUP(A217,cennik!A:B,2,FALSE)</f>
        <v>SEVROLL 06806 Gemini horní vedení 2,35m zlatá/mosiądz</v>
      </c>
      <c r="G217" s="1" t="e">
        <f>+VLOOKUP(A217,#REF!,4,FALSE)</f>
        <v>#REF!</v>
      </c>
      <c r="H217" s="1">
        <v>2350</v>
      </c>
      <c r="I217" s="1" t="str">
        <f>CONCATENATE(H217,"-",J5)</f>
        <v>2350-złoty/mosiądz</v>
      </c>
      <c r="Z217" s="1" t="b">
        <f t="shared" si="6"/>
        <v>1</v>
      </c>
    </row>
    <row r="218" spans="1:26" ht="15" customHeight="1" x14ac:dyDescent="0.3">
      <c r="A218" s="49">
        <v>542583</v>
      </c>
      <c r="B218" s="48"/>
      <c r="C218" s="1" t="str">
        <f>CONCATENATE(H218,"-",J5)</f>
        <v>3000-złoty/mosiądz</v>
      </c>
      <c r="D218" s="49">
        <v>542583</v>
      </c>
      <c r="E218" s="48" t="str">
        <f>+VLOOKUP(A218,cennik!A:G,2,FALSE)</f>
        <v>SEVROLL 06807 Gemini horní vedení 3m złoty/mosiądz</v>
      </c>
      <c r="F218" s="48" t="str">
        <f>+VLOOKUP(A218,cennik!A:B,2,FALSE)</f>
        <v>SEVROLL 06807 Gemini horní vedení 3m złoty/mosiądz</v>
      </c>
      <c r="G218" s="1" t="e">
        <f>+VLOOKUP(A218,#REF!,4,FALSE)</f>
        <v>#REF!</v>
      </c>
      <c r="H218" s="1">
        <v>3000</v>
      </c>
      <c r="I218" s="1" t="str">
        <f>CONCATENATE(H218,"-",J5)</f>
        <v>3000-złoty/mosiądz</v>
      </c>
      <c r="Z218" s="1" t="b">
        <f t="shared" si="6"/>
        <v>1</v>
      </c>
    </row>
    <row r="219" spans="1:26" ht="15" customHeight="1" x14ac:dyDescent="0.3">
      <c r="A219" s="49">
        <v>542592</v>
      </c>
      <c r="B219" s="48"/>
      <c r="C219" s="1" t="str">
        <f>CONCATENATE(H219,"-",J5)</f>
        <v>4050-złoty/mosiądz</v>
      </c>
      <c r="D219" s="49">
        <v>542592</v>
      </c>
      <c r="E219" s="48" t="str">
        <f>+VLOOKUP(A219,cennik!A:G,2,FALSE)</f>
        <v>SEVROLL 06808 Gemini horní vedení 4,05m zlatá/mosiądz</v>
      </c>
      <c r="F219" s="48" t="str">
        <f>+VLOOKUP(A219,cennik!A:B,2,FALSE)</f>
        <v>SEVROLL 06808 Gemini horní vedení 4,05m zlatá/mosiądz</v>
      </c>
      <c r="G219" s="1" t="e">
        <f>+VLOOKUP(A219,#REF!,4,FALSE)</f>
        <v>#REF!</v>
      </c>
      <c r="H219" s="1">
        <v>4050</v>
      </c>
      <c r="I219" s="1" t="str">
        <f>CONCATENATE(H219,"-",J5)</f>
        <v>4050-złoty/mosiądz</v>
      </c>
      <c r="Z219" s="1" t="b">
        <f t="shared" si="6"/>
        <v>1</v>
      </c>
    </row>
    <row r="220" spans="1:26" ht="15" customHeight="1" x14ac:dyDescent="0.3">
      <c r="A220" s="49">
        <v>542633</v>
      </c>
      <c r="B220" s="48"/>
      <c r="C220" s="1" t="str">
        <f>CONCATENATE(H220,"-",J5)</f>
        <v>6000-złoty/mosiądz</v>
      </c>
      <c r="D220" s="49">
        <v>542633</v>
      </c>
      <c r="E220" s="48" t="str">
        <f>+VLOOKUP(A220,cennik!A:G,2,FALSE)</f>
        <v>SEVROLL 06809 Gemini tor górny 6m złoty/mosiądz</v>
      </c>
      <c r="F220" s="48" t="str">
        <f>+VLOOKUP(A220,cennik!A:B,2,FALSE)</f>
        <v>SEVROLL 06809 Gemini tor górny 6m złoty/mosiądz</v>
      </c>
      <c r="H220" s="1">
        <v>6000</v>
      </c>
      <c r="I220" s="1" t="str">
        <f>CONCATENATE(H220,"-",J5)</f>
        <v>6000-złoty/mosiądz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 czarny mat</v>
      </c>
      <c r="D221" s="49">
        <v>409670</v>
      </c>
      <c r="E221" s="48" t="str">
        <f>+VLOOKUP(A221,cennik!A:G,2,FALSE)</f>
        <v>SEVROLL 05314 Gemini tor górny 2,35 m czarny mat</v>
      </c>
      <c r="F221" s="48" t="str">
        <f>+VLOOKUP(A221,cennik!A:B,2,FALSE)</f>
        <v>SEVROLL 05314 Gemini tor górny 2,35 m czarny mat</v>
      </c>
      <c r="H221" s="1">
        <v>2350</v>
      </c>
      <c r="I221" s="1" t="str">
        <f>CONCATENATE(H221,"-",J17)</f>
        <v>2350- czarny mat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 czarny mat</v>
      </c>
      <c r="D222" s="49">
        <v>409674</v>
      </c>
      <c r="E222" s="48" t="str">
        <f>+VLOOKUP(A222,cennik!A:G,2,FALSE)</f>
        <v>SEVROLL 04835 Gemini tor górny 4,05 m czarny mat</v>
      </c>
      <c r="F222" s="48" t="str">
        <f>+VLOOKUP(A222,cennik!A:B,2,FALSE)</f>
        <v>SEVROLL 04835 Gemini tor górny 4,05 m czarny mat</v>
      </c>
      <c r="G222" s="48" t="e">
        <f>+VLOOKUP(C222,cennik!A:G,2,FALSE)</f>
        <v>#N/A</v>
      </c>
      <c r="H222" s="1">
        <v>4050</v>
      </c>
      <c r="I222" s="1" t="str">
        <f>CONCATENATE(H222,"-",J17)</f>
        <v>4050- czarny mat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 czarny mat</v>
      </c>
      <c r="D223" s="49">
        <v>412229</v>
      </c>
      <c r="E223" s="48" t="str">
        <f>+VLOOKUP(A223,cennik!A:G,2,FALSE)</f>
        <v>SEVROLL Gemini tor górny 3 m czarny mat</v>
      </c>
      <c r="F223" s="48" t="str">
        <f>+VLOOKUP(A223,cennik!A:B,2,FALSE)</f>
        <v>SEVROLL Gemini tor górny 3 m czarny mat</v>
      </c>
      <c r="H223" s="1">
        <v>3000</v>
      </c>
      <c r="I223" s="1" t="str">
        <f>CONCATENATE(H223,"-",J17)</f>
        <v>3000- czarny mat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 czarny mat</v>
      </c>
      <c r="D224" s="49">
        <v>422008</v>
      </c>
      <c r="E224" s="48" t="str">
        <f>+VLOOKUP(A224,cennik!A:G,2,FALSE)</f>
        <v>SEVROLL Gemini tor górny 1,7 m czarny mat</v>
      </c>
      <c r="F224" s="48" t="str">
        <f>+VLOOKUP(A224,cennik!A:B,2,FALSE)</f>
        <v>SEVROLL Gemini tor górny 1,7 m czarny mat</v>
      </c>
      <c r="H224" s="1">
        <v>1700</v>
      </c>
      <c r="I224" s="1" t="str">
        <f>CONCATENATE(H224,"-",J17)</f>
        <v>1700- czarny mat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 czarny mat</v>
      </c>
      <c r="D225" s="49">
        <v>452736</v>
      </c>
      <c r="E225" s="48" t="str">
        <f>+VLOOKUP(A225,cennik!A:G,2,FALSE)</f>
        <v>SEVROLL 05316 Gemini tor górny 6m czarny mat</v>
      </c>
      <c r="F225" s="48" t="str">
        <f>+VLOOKUP(A225,cennik!A:B,2,FALSE)</f>
        <v>SEVROLL 05316 Gemini tor górny 6m czarny mat</v>
      </c>
      <c r="H225" s="1">
        <v>6000</v>
      </c>
      <c r="I225" s="1" t="str">
        <f>CONCATENATE(H225,"-",J17)</f>
        <v>6000- czarny mat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1700-j.brąz</v>
      </c>
      <c r="D226" s="49">
        <v>89105</v>
      </c>
      <c r="E226" s="48" t="str">
        <f>+VLOOKUP(A226,cennik!A:G,2,FALSE)</f>
        <v>SEVROLL 01008 Gemini horní vedení 1,7m oliva</v>
      </c>
      <c r="F226" s="48" t="str">
        <f>+VLOOKUP(A226,cennik!A:B,2,FALSE)</f>
        <v>SEVROLL 01008 Gemini horní vedení 1,7m oliva</v>
      </c>
      <c r="G226" s="1" t="e">
        <f>+VLOOKUP(A226,#REF!,4,FALSE)</f>
        <v>#REF!</v>
      </c>
      <c r="H226" s="1">
        <v>1700</v>
      </c>
      <c r="I226" s="1" t="str">
        <f>CONCATENATE(H226,"-",J6)</f>
        <v>1700-j.brąz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2350-j.brąz</v>
      </c>
      <c r="D227" s="49">
        <v>89108</v>
      </c>
      <c r="E227" s="48" t="str">
        <f>+VLOOKUP(A227,cennik!A:G,2,FALSE)</f>
        <v>SEVROLL 01010 Gemini horní vedení 2,35m oliva</v>
      </c>
      <c r="F227" s="48" t="str">
        <f>+VLOOKUP(A227,cennik!A:B,2,FALSE)</f>
        <v>SEVROLL 01010 Gemini horní vedení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2350-j.brąz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3000-j.brąz</v>
      </c>
      <c r="D228" s="49">
        <v>89111</v>
      </c>
      <c r="E228" s="48" t="str">
        <f>+VLOOKUP(A228,cennik!A:G,2,FALSE)</f>
        <v>SEVROLL 01011 Gemini horní vedení 3m oliva</v>
      </c>
      <c r="F228" s="48" t="str">
        <f>+VLOOKUP(A228,cennik!A:B,2,FALSE)</f>
        <v>SEVROLL 01011 Gemini horní vedení 3m oliva</v>
      </c>
      <c r="G228" s="1" t="e">
        <f>+VLOOKUP(A228,#REF!,4,FALSE)</f>
        <v>#REF!</v>
      </c>
      <c r="H228" s="1">
        <v>3000</v>
      </c>
      <c r="I228" s="1" t="str">
        <f>CONCATENATE(H228,"-",J6)</f>
        <v>3000-j.brąz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4050-j.brąz</v>
      </c>
      <c r="D229" s="49">
        <v>89114</v>
      </c>
      <c r="E229" s="48" t="str">
        <f>+VLOOKUP(A229,cennik!A:G,2,FALSE)</f>
        <v>SEVROLL 01439 Gemini horní vedení 4,05m oliva</v>
      </c>
      <c r="F229" s="48" t="str">
        <f>+VLOOKUP(A229,cennik!A:B,2,FALSE)</f>
        <v>SEVROLL 01439 Gemini horní vedení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4050-j.brąz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6000-j.brąz</v>
      </c>
      <c r="D230" s="49">
        <v>134934</v>
      </c>
      <c r="E230" s="48" t="str">
        <f>+VLOOKUP(A230,cennik!A:G,2,FALSE)</f>
        <v>SEVROLL Gemini tor górny 6m, jasny brąz</v>
      </c>
      <c r="F230" s="48" t="str">
        <f>+VLOOKUP(A230,cennik!A:B,2,FALSE)</f>
        <v>SEVROLL Gemini tor górny 6m, jasny brąz</v>
      </c>
      <c r="H230" s="1">
        <v>6000</v>
      </c>
      <c r="I230" s="1" t="str">
        <f>CONCATENATE(H230,"-",J6)</f>
        <v>6000-j.brąz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1700-czarny lakier strukturalny</v>
      </c>
      <c r="D231" s="196">
        <v>526516</v>
      </c>
      <c r="E231" s="48" t="str">
        <f>+VLOOKUP(A231,cennik!A:G,2,FALSE)</f>
        <v>SEVROLL 06285 Gemini tor górny 1,7 m czarny lakier strukturalny</v>
      </c>
      <c r="F231" s="48" t="str">
        <f>+VLOOKUP(A231,cennik!A:B,2,FALSE)</f>
        <v>SEVROLL 06285 Gemini tor górny 1,7 m czarny lakier strukturalny</v>
      </c>
      <c r="H231" s="1">
        <v>1700</v>
      </c>
      <c r="I231" s="1" t="str">
        <f>CONCATENATE(H231,"-",J22)</f>
        <v>1700-czarny lakier strukturalny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2350-czarny lakier strukturalny</v>
      </c>
      <c r="D232" s="196">
        <v>526519</v>
      </c>
      <c r="E232" s="48" t="str">
        <f>+VLOOKUP(A232,cennik!A:G,2,FALSE)</f>
        <v>SEVROLL 06286 Gemini tor górny 2,35 m czarny lakier strukturalny</v>
      </c>
      <c r="F232" s="48" t="str">
        <f>+VLOOKUP(A232,cennik!A:B,2,FALSE)</f>
        <v>SEVROLL 06286 Gemini tor górny 2,35 m czarny lakier strukturalny</v>
      </c>
      <c r="H232" s="1">
        <v>2350</v>
      </c>
      <c r="I232" s="1" t="str">
        <f>CONCATENATE(H232,"-",J22)</f>
        <v>2350-czarny lakier strukturalny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3000-czarny lakier strukturalny</v>
      </c>
      <c r="D233" s="196">
        <v>526520</v>
      </c>
      <c r="E233" s="48" t="str">
        <f>+VLOOKUP(A233,cennik!A:G,2,FALSE)</f>
        <v>SEVROLL 06287 Gemini tor górny 3 m czarny lakier strukturalny</v>
      </c>
      <c r="F233" s="48" t="str">
        <f>+VLOOKUP(A233,cennik!A:B,2,FALSE)</f>
        <v>SEVROLL 06287 Gemini tor górny 3 m czarny lakier strukturalny</v>
      </c>
      <c r="H233" s="1">
        <v>3000</v>
      </c>
      <c r="I233" s="1" t="str">
        <f>CONCATENATE(H233,"-",J22)</f>
        <v>3000-czarny lakier strukturalny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4050-czarny lakier strukturalny</v>
      </c>
      <c r="D234" s="196">
        <v>526521</v>
      </c>
      <c r="E234" s="48" t="str">
        <f>+VLOOKUP(A234,cennik!A:G,2,FALSE)</f>
        <v>SEVROLL 06288 Gemini tor górny 4,05 m czarny lakier strukturalny</v>
      </c>
      <c r="F234" s="48" t="str">
        <f>+VLOOKUP(A234,cennik!A:B,2,FALSE)</f>
        <v>SEVROLL 06288 Gemini tor górny 4,05 m czarny lakier strukturalny</v>
      </c>
      <c r="H234" s="1">
        <v>4050</v>
      </c>
      <c r="I234" s="1" t="str">
        <f>CONCATENATE(H234,"-",J22)</f>
        <v>4050-czarny lakier strukturalny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6000-czarny lakier strukturalny</v>
      </c>
      <c r="D235" s="196">
        <v>526522</v>
      </c>
      <c r="E235" s="48" t="str">
        <f>+VLOOKUP(A235,cennik!A:G,2,FALSE)</f>
        <v>SEVROLL 06154 Gemini tor górny 6m czarny lakier strukturalny</v>
      </c>
      <c r="F235" s="48" t="str">
        <f>+VLOOKUP(A235,cennik!A:B,2,FALSE)</f>
        <v>SEVROLL 06154 Gemini tor górny 6m czarny lakier strukturalny</v>
      </c>
      <c r="H235" s="1">
        <v>6000</v>
      </c>
      <c r="I235" s="1" t="str">
        <f>CONCATENATE(H235,"-",J22)</f>
        <v>6000-czarny lakier strukturalny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1700-j.brąz szczotkowany</v>
      </c>
      <c r="D236" s="49">
        <v>119459</v>
      </c>
      <c r="E236" s="48" t="str">
        <f>+VLOOKUP(A236,cennik!A:G,2,FALSE)</f>
        <v>SEVROLL 02501-Y Gemini tor górny 1,7 m, jasny brąz szczotkowany</v>
      </c>
      <c r="F236" s="48" t="str">
        <f>+VLOOKUP(A236,cennik!A:B,2,FALSE)</f>
        <v>SEVROLL 02501-Y Gemini tor górny 1,7 m, jasny brąz szczotkowany</v>
      </c>
      <c r="H236" s="1">
        <v>1700</v>
      </c>
      <c r="I236" s="1" t="str">
        <f>CONCATENATE(H236,"-",J7)</f>
        <v>1700-j.brąz szczotkowany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2350-j.brąz szczotkowany</v>
      </c>
      <c r="D237" s="49">
        <v>120864</v>
      </c>
      <c r="E237" s="48" t="str">
        <f>+VLOOKUP(A237,cennik!A:G,2,FALSE)</f>
        <v>SEVROLL 02498-Y Gemini tor górny 2,35 m, jasny brąz szczotkowany</v>
      </c>
      <c r="F237" s="48" t="str">
        <f>+VLOOKUP(A237,cennik!A:B,2,FALSE)</f>
        <v>SEVROLL 02498-Y Gemini tor górny 2,35 m, jasny brąz szczotkowany</v>
      </c>
      <c r="H237" s="1">
        <v>2350</v>
      </c>
      <c r="I237" s="1" t="str">
        <f>CONCATENATE(H237,"-",J7)</f>
        <v>2350-j.brąz szczotkowany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3000-j.brąz szczotkowany</v>
      </c>
      <c r="D238" s="49">
        <v>120865</v>
      </c>
      <c r="E238" s="48" t="str">
        <f>+VLOOKUP(A238,cennik!A:G,2,FALSE)</f>
        <v>SEVROLL 02499-Y Gemini tor górny 3 m, jasny brąz szczotkowany</v>
      </c>
      <c r="F238" s="48" t="str">
        <f>+VLOOKUP(A238,cennik!A:B,2,FALSE)</f>
        <v>SEVROLL 02499-Y Gemini tor górny 3 m, jasny brąz szczotkowany</v>
      </c>
      <c r="H238" s="1">
        <v>3000</v>
      </c>
      <c r="I238" s="1" t="str">
        <f>CONCATENATE(H238,"-",J7)</f>
        <v>3000-j.brąz szczotkowany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4050-j.brąz szczotkowany</v>
      </c>
      <c r="D239" s="49">
        <v>120867</v>
      </c>
      <c r="E239" s="48" t="str">
        <f>+VLOOKUP(A239,cennik!A:G,2,FALSE)</f>
        <v>SEVROLL 02500-Y Gemini tor górny 4,05 m, jasny brąz szczotkowany</v>
      </c>
      <c r="F239" s="48" t="str">
        <f>+VLOOKUP(A239,cennik!A:B,2,FALSE)</f>
        <v>SEVROLL 02500-Y Gemini tor górny 4,05 m, jasny brąz szczotkowany</v>
      </c>
      <c r="H239" s="1">
        <v>4050</v>
      </c>
      <c r="I239" s="1" t="str">
        <f>CONCATENATE(H239,"-",J7)</f>
        <v>4050-j.brąz szczotkowany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6000-j.brąz szczotkowany</v>
      </c>
      <c r="D240" s="49">
        <v>225370</v>
      </c>
      <c r="E240" s="48" t="str">
        <f>+VLOOKUP(A240,cennik!A:G,2,FALSE)</f>
        <v>SEVROLL Gemini tor górny 6m jasny brąz szczotkowany</v>
      </c>
      <c r="F240" s="48" t="str">
        <f>+VLOOKUP(A240,cennik!A:B,2,FALSE)</f>
        <v>SEVROLL Gemini tor górny 6m jasny brąz szczotkowany</v>
      </c>
      <c r="H240" s="1">
        <v>6000</v>
      </c>
      <c r="I240" s="1" t="str">
        <f>CONCATENATE(H240,"-",J7)</f>
        <v>6000-j.brąz szczotkowany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1700-szczot.oliwa ciemna</v>
      </c>
      <c r="D241" s="49">
        <v>205162</v>
      </c>
      <c r="E241" s="48" t="str">
        <f>+VLOOKUP(A241,cennik!A:G,2,FALSE)</f>
        <v>SEVROLL Gemini tor górny 1,7m koniak szczotkowany</v>
      </c>
      <c r="F241" s="48" t="str">
        <f>+VLOOKUP(A241,cennik!A:B,2,FALSE)</f>
        <v>SEVROLL Gemini tor górny 1,7m koniak szczotkowany</v>
      </c>
      <c r="H241" s="1">
        <v>1700</v>
      </c>
      <c r="I241" s="1" t="str">
        <f>CONCATENATE(H241,"-",J8)</f>
        <v>1700-szczot.oliwa ciemna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2350-szczot.oliwa ciemna</v>
      </c>
      <c r="D242" s="49">
        <v>205164</v>
      </c>
      <c r="E242" s="48" t="str">
        <f>+VLOOKUP(A242,cennik!A:G,2,FALSE)</f>
        <v>SEVROLL Gemini tor górny 2,35m koniak szczotkowany</v>
      </c>
      <c r="F242" s="48" t="str">
        <f>+VLOOKUP(A242,cennik!A:B,2,FALSE)</f>
        <v>SEVROLL Gemini tor górny 2,35m koniak szczotkowany</v>
      </c>
      <c r="H242" s="1">
        <v>2350</v>
      </c>
      <c r="I242" s="1" t="str">
        <f>CONCATENATE(H242,"-",J8)</f>
        <v>2350-szczot.oliwa ciemna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3000-szczot.oliwa ciemna</v>
      </c>
      <c r="D243" s="49">
        <v>205166</v>
      </c>
      <c r="E243" s="48" t="str">
        <f>+VLOOKUP(A243,cennik!A:G,2,FALSE)</f>
        <v>SEVROLL Gemini tor górny 3m koniak szczotkowany</v>
      </c>
      <c r="F243" s="48" t="str">
        <f>+VLOOKUP(A243,cennik!A:B,2,FALSE)</f>
        <v>SEVROLL Gemini tor górny 3m koniak szczotkowany</v>
      </c>
      <c r="H243" s="1">
        <v>3000</v>
      </c>
      <c r="I243" s="1" t="str">
        <f>CONCATENATE(H243,"-",J8)</f>
        <v>3000-szczot.oliwa ciemna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4050-szczot.oliwa ciemna</v>
      </c>
      <c r="D244" s="49">
        <v>205168</v>
      </c>
      <c r="E244" s="48" t="str">
        <f>+VLOOKUP(A244,cennik!A:G,2,FALSE)</f>
        <v>SEVROLL Gemini tor górny 4,05m koniak szczotkowany</v>
      </c>
      <c r="F244" s="48" t="str">
        <f>+VLOOKUP(A244,cennik!A:B,2,FALSE)</f>
        <v>SEVROLL Gemini tor górny 4,05m koniak szczotkowany</v>
      </c>
      <c r="H244" s="1">
        <v>4050</v>
      </c>
      <c r="I244" s="1" t="str">
        <f>CONCATENATE(H244,"-",J8)</f>
        <v>4050-szczot.oliwa ciemna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6000-szczot.oliwa ciemna</v>
      </c>
      <c r="D245" s="49">
        <v>225371</v>
      </c>
      <c r="E245" s="48" t="str">
        <f>+VLOOKUP(A245,cennik!A:G,2,FALSE)</f>
        <v>SEVROLL Gemini tor górny 6m koniak szczotkowany</v>
      </c>
      <c r="F245" s="48" t="str">
        <f>+VLOOKUP(A245,cennik!A:B,2,FALSE)</f>
        <v>SEVROLL Gemini tor górny 6m koniak szczotkowany</v>
      </c>
      <c r="H245" s="1">
        <v>6000</v>
      </c>
      <c r="I245" s="1" t="str">
        <f>CONCATENATE(H245,"-",J8)</f>
        <v>6000-szczot.oliwa ciemna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1700-szczot.czarna</v>
      </c>
      <c r="D246" s="49">
        <v>205163</v>
      </c>
      <c r="E246" s="48" t="str">
        <f>+VLOOKUP(A246,cennik!A:G,2,FALSE)</f>
        <v>SEVROLL Gemini tor górny 1,7 m czarny szczotkowany</v>
      </c>
      <c r="F246" s="48" t="str">
        <f>+VLOOKUP(A246,cennik!A:B,2,FALSE)</f>
        <v>SEVROLL Gemini tor górny 1,7 m czarny szczotkowany</v>
      </c>
      <c r="H246" s="1">
        <v>1700</v>
      </c>
      <c r="I246" s="1" t="str">
        <f>CONCATENATE(H246,"-",J9)</f>
        <v>1700-szczot.czarna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2350-szczot.czarna</v>
      </c>
      <c r="D247" s="49">
        <v>205165</v>
      </c>
      <c r="E247" s="48" t="str">
        <f>+VLOOKUP(A247,cennik!A:G,2,FALSE)</f>
        <v>SEVROLL Gemini tor górny 2,35 m czarny szczotkowany</v>
      </c>
      <c r="F247" s="48" t="str">
        <f>+VLOOKUP(A247,cennik!A:B,2,FALSE)</f>
        <v>SEVROLL Gemini tor górny 2,35 m czarny szczotkowany</v>
      </c>
      <c r="H247" s="1">
        <v>2350</v>
      </c>
      <c r="I247" s="1" t="str">
        <f>CONCATENATE(H247,"-",J9)</f>
        <v>2350-szczot.czarna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3000-szczot.czarna</v>
      </c>
      <c r="D248" s="49">
        <v>205167</v>
      </c>
      <c r="E248" s="48" t="str">
        <f>+VLOOKUP(A248,cennik!A:G,2,FALSE)</f>
        <v>SEVROLL Gemini tor górny 3 m czarny szczotkowany</v>
      </c>
      <c r="F248" s="48" t="str">
        <f>+VLOOKUP(A248,cennik!A:B,2,FALSE)</f>
        <v>SEVROLL Gemini tor górny 3 m czarny szczotkowany</v>
      </c>
      <c r="H248" s="1">
        <v>3000</v>
      </c>
      <c r="I248" s="1" t="str">
        <f>CONCATENATE(H248,"-",J9)</f>
        <v>3000-szczot.czarna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4050-szczot.czarna</v>
      </c>
      <c r="D249" s="49">
        <v>205169</v>
      </c>
      <c r="E249" s="48" t="str">
        <f>+VLOOKUP(A249,cennik!A:G,2,FALSE)</f>
        <v>SEVROLL Gemini tor górny 4,05 m czarny szczotkowany</v>
      </c>
      <c r="F249" s="48" t="str">
        <f>+VLOOKUP(A249,cennik!A:B,2,FALSE)</f>
        <v>SEVROLL Gemini tor górny 4,05 m czarny szczotkowany</v>
      </c>
      <c r="H249" s="1">
        <v>4050</v>
      </c>
      <c r="I249" s="1" t="str">
        <f>CONCATENATE(H249,"-",J9)</f>
        <v>4050-szczot.czarna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6000-szczot.czarna</v>
      </c>
      <c r="D250" s="48">
        <v>225372</v>
      </c>
      <c r="E250" s="48" t="str">
        <f>+VLOOKUP(A250,cennik!A:G,2,FALSE)</f>
        <v>SEVROLL Gemini tor górny 6m czarny szczotkowany</v>
      </c>
      <c r="F250" s="48" t="str">
        <f>+VLOOKUP(A250,cennik!A:B,2,FALSE)</f>
        <v>SEVROLL Gemini tor górny 6m czarny szczotkowany</v>
      </c>
      <c r="H250" s="1">
        <v>6000</v>
      </c>
      <c r="I250" s="1" t="str">
        <f>CONCATENATE(H250,"-",J9)</f>
        <v>6000-szczot.czarna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 biały połysk</v>
      </c>
      <c r="D251" s="49">
        <v>276751</v>
      </c>
      <c r="E251" s="48" t="str">
        <f>+VLOOKUP(A251,cennik!A:G,2,FALSE)</f>
        <v>SEVROLL Gemini tor górny 1,7 m, biały połysk</v>
      </c>
      <c r="F251" s="48" t="str">
        <f>+VLOOKUP(A251,cennik!A:B,2,FALSE)</f>
        <v>SEVROLL Gemini tor górny 1,7 m, biały połysk</v>
      </c>
      <c r="H251" s="1">
        <v>1700</v>
      </c>
      <c r="I251" s="1" t="str">
        <f>CONCATENATE(H251,"-",J15)</f>
        <v>1700- biały połysk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 biały połysk</v>
      </c>
      <c r="D252" s="49">
        <v>267882</v>
      </c>
      <c r="E252" s="48" t="str">
        <f>+VLOOKUP(A252,cennik!A:G,2,FALSE)</f>
        <v>SEVROLL 04060 Gemini tor górny 2,35 m, biały połysk</v>
      </c>
      <c r="F252" s="48" t="str">
        <f>+VLOOKUP(A252,cennik!A:B,2,FALSE)</f>
        <v>SEVROLL 04060 Gemini tor górny 2,35 m, biały połysk</v>
      </c>
      <c r="H252" s="1">
        <v>2350</v>
      </c>
      <c r="I252" s="1" t="str">
        <f>CONCATENATE(H252,"-",J15)</f>
        <v>2350- biały połysk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 biały połysk</v>
      </c>
      <c r="D253" s="49">
        <v>252566</v>
      </c>
      <c r="E253" s="48" t="str">
        <f>+VLOOKUP(A253,cennik!A:G,2,FALSE)</f>
        <v>SEVROLL Gemini tor górny 3 m, biały połysk</v>
      </c>
      <c r="F253" s="48" t="str">
        <f>+VLOOKUP(A253,cennik!A:B,2,FALSE)</f>
        <v>SEVROLL Gemini tor górny 3 m, biały połysk</v>
      </c>
      <c r="H253" s="1">
        <v>3000</v>
      </c>
      <c r="I253" s="1" t="str">
        <f>CONCATENATE(H253,"-",J15)</f>
        <v>3000- biały połysk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 biały połysk</v>
      </c>
      <c r="D254" s="49">
        <v>276749</v>
      </c>
      <c r="E254" s="48" t="str">
        <f>+VLOOKUP(A254,cennik!A:G,2,FALSE)</f>
        <v>SEVROLL Gemini tor górny 4,05 m, biały połysk</v>
      </c>
      <c r="F254" s="48" t="str">
        <f>+VLOOKUP(A254,cennik!A:B,2,FALSE)</f>
        <v>SEVROLL Gemini tor górny 4,05 m, biały połysk</v>
      </c>
      <c r="H254" s="1">
        <v>4050</v>
      </c>
      <c r="I254" s="1" t="str">
        <f>CONCATENATE(H254,"-",J15)</f>
        <v>4050- biały połysk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 biały połysk</v>
      </c>
      <c r="D255" s="49">
        <v>311586</v>
      </c>
      <c r="E255" s="48" t="str">
        <f>+VLOOKUP(A255,cennik!A:G,2,FALSE)</f>
        <v>SEVROLL Gemini tor górny 6m biały połysk</v>
      </c>
      <c r="F255" s="48" t="str">
        <f>+VLOOKUP(A255,cennik!A:B,2,FALSE)</f>
        <v>SEVROLL Gemini tor górny 6m biały połysk</v>
      </c>
      <c r="H255" s="1">
        <v>6000</v>
      </c>
      <c r="I255" s="1" t="str">
        <f>CONCATENATE(H255,"-",J15)</f>
        <v>6000- biały połysk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1700-czarny połysk</v>
      </c>
      <c r="D256" s="2">
        <v>405407</v>
      </c>
      <c r="E256" s="48" t="str">
        <f>+VLOOKUP(A256,cennik!A:G,2,FALSE)</f>
        <v>SEVROLL Gemini tor górny 1,7 m czarny połysk</v>
      </c>
      <c r="F256" s="48" t="str">
        <f>+VLOOKUP(A256,cennik!A:B,2,FALSE)</f>
        <v>SEVROLL Gemini tor górny 1,7 m czarny połysk</v>
      </c>
      <c r="H256" s="1">
        <v>1700</v>
      </c>
      <c r="I256" s="1" t="str">
        <f>CONCATENATE(H256,"-",J16)</f>
        <v>1700-czarny połysk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2350-czarny połysk</v>
      </c>
      <c r="D257" s="2">
        <v>398096</v>
      </c>
      <c r="E257" s="48" t="str">
        <f>+VLOOKUP(A257,cennik!A:G,2,FALSE)</f>
        <v>SEVROLL Gemini tor górny 2,35 m czarny połysk</v>
      </c>
      <c r="F257" s="48" t="str">
        <f>+VLOOKUP(A257,cennik!A:B,2,FALSE)</f>
        <v>SEVROLL Gemini tor górny 2,35 m czarny połysk</v>
      </c>
      <c r="H257" s="1">
        <v>2350</v>
      </c>
      <c r="I257" s="1" t="str">
        <f>CONCATENATE(H257,"-",J16)</f>
        <v>2350-czarny połysk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3000-czarny połysk</v>
      </c>
      <c r="D258" s="2">
        <v>405423</v>
      </c>
      <c r="E258" s="48" t="str">
        <f>+VLOOKUP(A258,cennik!A:G,2,FALSE)</f>
        <v>SEVROLL Gemini tor górny 3 m czarny połysk</v>
      </c>
      <c r="F258" s="48" t="str">
        <f>+VLOOKUP(A258,cennik!A:B,2,FALSE)</f>
        <v>SEVROLL Gemini tor górny 3 m czarny połysk</v>
      </c>
      <c r="H258" s="1">
        <v>3000</v>
      </c>
      <c r="I258" s="1" t="str">
        <f>CONCATENATE(H258,"-",J16)</f>
        <v>3000-czarny połysk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4050-czarny połysk</v>
      </c>
      <c r="D259" s="2">
        <v>405425</v>
      </c>
      <c r="E259" s="48" t="str">
        <f>+VLOOKUP(A259,cennik!A:G,2,FALSE)</f>
        <v>SEVROLL Gemini tor górny 4,05 m czarny połysk</v>
      </c>
      <c r="F259" s="48" t="str">
        <f>+VLOOKUP(A259,cennik!A:B,2,FALSE)</f>
        <v>SEVROLL Gemini tor górny 4,05 m czarny połysk</v>
      </c>
      <c r="H259" s="1">
        <v>4050</v>
      </c>
      <c r="I259" s="1" t="str">
        <f>CONCATENATE(H259,"-",J16)</f>
        <v>4050-czarny połysk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6000-czarny połysk</v>
      </c>
      <c r="D260" s="2">
        <v>405426</v>
      </c>
      <c r="E260" s="48" t="str">
        <f>+VLOOKUP(A260,cennik!A:G,2,FALSE)</f>
        <v>SEVROLL Gemini tor górny 6m czarny połysk</v>
      </c>
      <c r="F260" s="48" t="str">
        <f>+VLOOKUP(A260,cennik!A:B,2,FALSE)</f>
        <v>SEVROLL Gemini tor górny 6m czarny połysk</v>
      </c>
      <c r="H260" s="1">
        <v>6000</v>
      </c>
      <c r="I260" s="1" t="str">
        <f>CONCATENATE(H260,"-",J16)</f>
        <v>6000-czarny połysk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tor górny 1,7 m grafit</v>
      </c>
      <c r="F261" s="48" t="str">
        <f>+VLOOKUP(A261,cennik!A:B,2,FALSE)</f>
        <v>SEVROLL 06045 Gemini tor górny 1,7 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tor górny 2,35 m grafit</v>
      </c>
      <c r="F262" s="48" t="str">
        <f>+VLOOKUP(A262,cennik!A:B,2,FALSE)</f>
        <v>SEVROLL 06046 Gemini tor górny 2,35 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tor górny 3 m grafit</v>
      </c>
      <c r="F263" s="48" t="str">
        <f>+VLOOKUP(A263,cennik!A:B,2,FALSE)</f>
        <v>SEVROLL 06022 Gemini tor górny 3 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tor górny 4,05 m grafit</v>
      </c>
      <c r="F264" s="48" t="str">
        <f>+VLOOKUP(A264,cennik!A:B,2,FALSE)</f>
        <v>SEVROLL 06023 Gemini tor górny 4,05 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tor górny 6m grafit</v>
      </c>
      <c r="F265" s="48" t="str">
        <f>+VLOOKUP(A265,cennik!A:B,2,FALSE)</f>
        <v>SEVROLL 06047 Gemini tor górny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1700-biały mat</v>
      </c>
      <c r="D266" s="1">
        <v>394802</v>
      </c>
      <c r="E266" s="48" t="str">
        <f>+VLOOKUP(A266,cennik!A:G,2,FALSE)</f>
        <v>SEVROLL Gemini tor górny 1,7 m biały matowy</v>
      </c>
      <c r="F266" s="48" t="str">
        <f>+VLOOKUP(A266,cennik!A:B,2,FALSE)</f>
        <v>SEVROLL Gemini tor górny 1,7 m biały matowy</v>
      </c>
      <c r="H266" s="1">
        <v>1700</v>
      </c>
      <c r="I266" s="1" t="str">
        <f>CONCATENATE(H266,"-",J18)</f>
        <v>1700-biały mat</v>
      </c>
    </row>
    <row r="267" spans="1:26" ht="15" customHeight="1" x14ac:dyDescent="0.3">
      <c r="A267" s="1">
        <v>394813</v>
      </c>
      <c r="C267" s="1" t="str">
        <f>CONCATENATE(H267,"-",J18)</f>
        <v>2350-biały mat</v>
      </c>
      <c r="D267" s="1">
        <v>394813</v>
      </c>
      <c r="E267" s="48" t="str">
        <f>+VLOOKUP(A267,cennik!A:G,2,FALSE)</f>
        <v>SEVROLL Gemini tor górny 2,35 m biały matowy</v>
      </c>
      <c r="F267" s="48" t="str">
        <f>+VLOOKUP(A267,cennik!A:B,2,FALSE)</f>
        <v>SEVROLL Gemini tor górny 2,35 m biały matowy</v>
      </c>
      <c r="H267" s="1">
        <v>2350</v>
      </c>
      <c r="I267" s="1" t="str">
        <f>CONCATENATE(H267,"-",J18)</f>
        <v>2350-biały mat</v>
      </c>
    </row>
    <row r="268" spans="1:26" ht="15" customHeight="1" x14ac:dyDescent="0.3">
      <c r="A268" s="1">
        <v>233016</v>
      </c>
      <c r="C268" s="1" t="str">
        <f>CONCATENATE(H268,"-",J18)</f>
        <v>3000-biały mat</v>
      </c>
      <c r="D268" s="1">
        <v>233016</v>
      </c>
      <c r="E268" s="48" t="str">
        <f>+VLOOKUP(A268,cennik!A:G,2,FALSE)</f>
        <v>SEVROLL Tor górny Gemini 3 m, biały matowy</v>
      </c>
      <c r="F268" s="48" t="str">
        <f>+VLOOKUP(A268,cennik!A:B,2,FALSE)</f>
        <v>SEVROLL Tor górny Gemini 3 m, biały matowy</v>
      </c>
      <c r="H268" s="1">
        <v>3000</v>
      </c>
      <c r="I268" s="1" t="str">
        <f>CONCATENATE(H268,"-",J18)</f>
        <v>3000-biały mat</v>
      </c>
    </row>
    <row r="269" spans="1:26" ht="15" customHeight="1" x14ac:dyDescent="0.3">
      <c r="A269" s="1">
        <v>394815</v>
      </c>
      <c r="C269" s="1" t="str">
        <f>CONCATENATE(H269,"-",J18)</f>
        <v>4050-biały mat</v>
      </c>
      <c r="D269" s="1">
        <v>394815</v>
      </c>
      <c r="E269" s="48" t="str">
        <f>+VLOOKUP(A269,cennik!A:G,2,FALSE)</f>
        <v>SEVROLL Gemini tor górny 4,05 m biały matowy</v>
      </c>
      <c r="F269" s="48" t="str">
        <f>+VLOOKUP(A269,cennik!A:B,2,FALSE)</f>
        <v>SEVROLL Gemini tor górny 4,05 m biały matowy</v>
      </c>
      <c r="H269" s="1">
        <v>4050</v>
      </c>
      <c r="I269" s="1" t="str">
        <f>CONCATENATE(H269,"-",J18)</f>
        <v>4050-biały mat</v>
      </c>
    </row>
    <row r="270" spans="1:26" ht="15" customHeight="1" x14ac:dyDescent="0.3">
      <c r="A270" s="1">
        <v>394824</v>
      </c>
      <c r="C270" s="1" t="str">
        <f>CONCATENATE(H270,"-",J18)</f>
        <v>6000-biały mat</v>
      </c>
      <c r="D270" s="1">
        <v>394824</v>
      </c>
      <c r="E270" s="48" t="str">
        <f>+VLOOKUP(A270,cennik!A:G,2,FALSE)</f>
        <v>SEVROLL Gemini tor górny 6m biały matowy</v>
      </c>
      <c r="F270" s="48" t="str">
        <f>+VLOOKUP(A270,cennik!A:B,2,FALSE)</f>
        <v>SEVROLL Gemini tor górny 6m biały matowy</v>
      </c>
      <c r="H270" s="1">
        <v>6000</v>
      </c>
      <c r="I270" s="1" t="str">
        <f>CONCATENATE(H270,"-",J18)</f>
        <v>6000-biały mat</v>
      </c>
    </row>
    <row r="271" spans="1:26" ht="15" customHeight="1" x14ac:dyDescent="0.3">
      <c r="A271" s="1">
        <v>422008</v>
      </c>
      <c r="C271" s="1" t="str">
        <f>CONCATENATE(H271,"-",J17)</f>
        <v>1700- czarny mat</v>
      </c>
      <c r="D271" s="1">
        <v>422008</v>
      </c>
      <c r="E271" s="48" t="str">
        <f>+VLOOKUP(A271,cennik!A:G,2,FALSE)</f>
        <v>SEVROLL Gemini tor górny 1,7 m czarny mat</v>
      </c>
      <c r="F271" s="48" t="str">
        <f>+VLOOKUP(A271,cennik!A:B,2,FALSE)</f>
        <v>SEVROLL Gemini tor górny 1,7 m czarny mat</v>
      </c>
      <c r="H271" s="1">
        <v>1700</v>
      </c>
      <c r="I271" s="1" t="str">
        <f>CONCATENATE(H271,"-",J17)</f>
        <v>1700- czarny mat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 czarny mat</v>
      </c>
      <c r="D272" s="1">
        <v>409670</v>
      </c>
      <c r="E272" s="48" t="str">
        <f>+VLOOKUP(A272,cennik!A:G,2,FALSE)</f>
        <v>SEVROLL 05314 Gemini tor górny 2,35 m czarny mat</v>
      </c>
      <c r="F272" s="48" t="str">
        <f>+VLOOKUP(A272,cennik!A:B,2,FALSE)</f>
        <v>SEVROLL 05314 Gemini tor górny 2,35 m czarny mat</v>
      </c>
      <c r="H272" s="1">
        <v>2350</v>
      </c>
      <c r="I272" s="1" t="str">
        <f>CONCATENATE(H272,"-",J17)</f>
        <v>2350- czarny mat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 czarny mat</v>
      </c>
      <c r="D273" s="1">
        <v>412229</v>
      </c>
      <c r="E273" s="48" t="str">
        <f>+VLOOKUP(A273,cennik!A:G,2,FALSE)</f>
        <v>SEVROLL Gemini tor górny 3 m czarny mat</v>
      </c>
      <c r="F273" s="48" t="str">
        <f>+VLOOKUP(A273,cennik!A:B,2,FALSE)</f>
        <v>SEVROLL Gemini tor górny 3 m czarny mat</v>
      </c>
      <c r="H273" s="1">
        <v>3000</v>
      </c>
      <c r="I273" s="1" t="str">
        <f>CONCATENATE(H273,"-",J17)</f>
        <v>3000- czarny mat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 czarny mat</v>
      </c>
      <c r="D274" s="2">
        <v>452736</v>
      </c>
      <c r="E274" s="48" t="str">
        <f>+VLOOKUP(A274,cennik!A:G,2,FALSE)</f>
        <v>SEVROLL 05316 Gemini tor górny 6m czarny mat</v>
      </c>
      <c r="F274" s="48" t="str">
        <f>+VLOOKUP(A274,cennik!A:B,2,FALSE)</f>
        <v>SEVROLL 05316 Gemini tor górny 6m czarny mat</v>
      </c>
      <c r="H274" s="1">
        <v>6000</v>
      </c>
      <c r="I274" s="1" t="str">
        <f>CONCATENATE(H274,"-",J17)</f>
        <v>6000- czarny mat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1700-czarny lakier strukturalny</v>
      </c>
      <c r="D275" s="196">
        <v>526516</v>
      </c>
      <c r="E275" s="48" t="str">
        <f>+VLOOKUP(A275,cennik!A:G,2,FALSE)</f>
        <v>SEVROLL 06285 Gemini tor górny 1,7 m czarny lakier strukturalny</v>
      </c>
      <c r="F275" s="48" t="str">
        <f>+VLOOKUP(A275,cennik!A:B,2,FALSE)</f>
        <v>SEVROLL 06285 Gemini tor górny 1,7 m czarny lakier strukturalny</v>
      </c>
      <c r="H275" s="1">
        <v>1700</v>
      </c>
      <c r="I275" s="1" t="str">
        <f>CONCATENATE(H275,"-",J22)</f>
        <v>1700-czarny lakier strukturalny</v>
      </c>
    </row>
    <row r="276" spans="1:26" ht="15" customHeight="1" x14ac:dyDescent="0.3">
      <c r="A276" s="196">
        <v>526519</v>
      </c>
      <c r="C276" s="1" t="str">
        <f>CONCATENATE(H276,"-",J22)</f>
        <v>2350-czarny lakier strukturalny</v>
      </c>
      <c r="D276" s="196">
        <v>526519</v>
      </c>
      <c r="E276" s="48" t="str">
        <f>+VLOOKUP(A276,cennik!A:G,2,FALSE)</f>
        <v>SEVROLL 06286 Gemini tor górny 2,35 m czarny lakier strukturalny</v>
      </c>
      <c r="F276" s="48" t="str">
        <f>+VLOOKUP(A276,cennik!A:B,2,FALSE)</f>
        <v>SEVROLL 06286 Gemini tor górny 2,35 m czarny lakier strukturalny</v>
      </c>
      <c r="H276" s="1">
        <v>2350</v>
      </c>
      <c r="I276" s="1" t="str">
        <f>CONCATENATE(H276,"-",J22)</f>
        <v>2350-czarny lakier strukturalny</v>
      </c>
    </row>
    <row r="277" spans="1:26" ht="15" customHeight="1" x14ac:dyDescent="0.3">
      <c r="A277" s="196">
        <v>526520</v>
      </c>
      <c r="C277" s="1" t="str">
        <f>CONCATENATE(H277,"-",J22)</f>
        <v>3000-czarny lakier strukturalny</v>
      </c>
      <c r="D277" s="196">
        <v>526520</v>
      </c>
      <c r="E277" s="48" t="str">
        <f>+VLOOKUP(A277,cennik!A:G,2,FALSE)</f>
        <v>SEVROLL 06287 Gemini tor górny 3 m czarny lakier strukturalny</v>
      </c>
      <c r="F277" s="48" t="str">
        <f>+VLOOKUP(A277,cennik!A:B,2,FALSE)</f>
        <v>SEVROLL 06287 Gemini tor górny 3 m czarny lakier strukturalny</v>
      </c>
      <c r="H277" s="1">
        <v>3000</v>
      </c>
      <c r="I277" s="1" t="str">
        <f>CONCATENATE(H277,"-",J22)</f>
        <v>3000-czarny lakier strukturalny</v>
      </c>
    </row>
    <row r="278" spans="1:26" ht="15" customHeight="1" x14ac:dyDescent="0.3">
      <c r="A278" s="196">
        <v>526521</v>
      </c>
      <c r="C278" s="1" t="str">
        <f>CONCATENATE(H278,"-",J22)</f>
        <v>4050-czarny lakier strukturalny</v>
      </c>
      <c r="D278" s="196">
        <v>526521</v>
      </c>
      <c r="E278" s="48" t="str">
        <f>+VLOOKUP(A278,cennik!A:G,2,FALSE)</f>
        <v>SEVROLL 06288 Gemini tor górny 4,05 m czarny lakier strukturalny</v>
      </c>
      <c r="F278" s="48" t="str">
        <f>+VLOOKUP(A278,cennik!A:B,2,FALSE)</f>
        <v>SEVROLL 06288 Gemini tor górny 4,05 m czarny lakier strukturalny</v>
      </c>
      <c r="H278" s="1">
        <v>4050</v>
      </c>
      <c r="I278" s="1" t="str">
        <f>CONCATENATE(H278,"-",J22)</f>
        <v>4050-czarny lakier strukturalny</v>
      </c>
    </row>
    <row r="279" spans="1:26" ht="15" customHeight="1" x14ac:dyDescent="0.3">
      <c r="A279" s="196">
        <v>526522</v>
      </c>
      <c r="C279" s="1" t="str">
        <f>CONCATENATE(H279,"-",J22)</f>
        <v>6000-czarny lakier strukturalny</v>
      </c>
      <c r="D279" s="196">
        <v>526522</v>
      </c>
      <c r="E279" s="48" t="str">
        <f>+VLOOKUP(A279,cennik!A:G,2,FALSE)</f>
        <v>SEVROLL 06154 Gemini tor górny 6m czarny lakier strukturalny</v>
      </c>
      <c r="F279" s="48" t="str">
        <f>+VLOOKUP(A279,cennik!A:B,2,FALSE)</f>
        <v>SEVROLL 06154 Gemini tor górny 6m czarny lakier strukturalny</v>
      </c>
      <c r="H279" s="1">
        <v>6000</v>
      </c>
      <c r="I279" s="1" t="str">
        <f>CONCATENATE(H279,"-",J22)</f>
        <v>6000-czarny lakier strukturalny</v>
      </c>
    </row>
    <row r="280" spans="1:26" s="437" customFormat="1" ht="15" customHeight="1" x14ac:dyDescent="0.3">
      <c r="A280" s="436">
        <v>233016</v>
      </c>
      <c r="C280" s="1" t="str">
        <f>CONCATENATE(H280,"-",J18)</f>
        <v>3000-biały mat</v>
      </c>
      <c r="D280" s="436">
        <v>233016</v>
      </c>
      <c r="E280" s="48" t="str">
        <f>+VLOOKUP(A280,cennik!A:G,2,FALSE)</f>
        <v>SEVROLL Tor górny Gemini 3 m, biały matowy</v>
      </c>
      <c r="F280" s="48" t="str">
        <f>+VLOOKUP(A280,cennik!A:B,2,FALSE)</f>
        <v>SEVROLL Tor górny Gemini 3 m, biały matowy</v>
      </c>
      <c r="H280" s="437">
        <v>3000</v>
      </c>
      <c r="I280" s="1" t="str">
        <f>CONCATENATE(H280,"-",J18)</f>
        <v>3000-biały mat</v>
      </c>
      <c r="Z280" s="1" t="b">
        <f t="shared" si="6"/>
        <v>1</v>
      </c>
    </row>
    <row r="281" spans="1:26" s="437" customFormat="1" ht="15" customHeight="1" x14ac:dyDescent="0.3">
      <c r="A281" s="436">
        <v>394802</v>
      </c>
      <c r="C281" s="1" t="str">
        <f>CONCATENATE(H281,"-",J18)</f>
        <v>1700-biały mat</v>
      </c>
      <c r="D281" s="436">
        <v>394802</v>
      </c>
      <c r="E281" s="48" t="str">
        <f>+VLOOKUP(A281,cennik!A:G,2,FALSE)</f>
        <v>SEVROLL Gemini tor górny 1,7 m biały matowy</v>
      </c>
      <c r="F281" s="48" t="str">
        <f>+VLOOKUP(A281,cennik!A:B,2,FALSE)</f>
        <v>SEVROLL Gemini tor górny 1,7 m biały matowy</v>
      </c>
      <c r="H281" s="437">
        <v>1700</v>
      </c>
      <c r="I281" s="1" t="str">
        <f>CONCATENATE(H281,"-",J18)</f>
        <v>1700-biały mat</v>
      </c>
      <c r="Z281" s="1" t="b">
        <f t="shared" si="6"/>
        <v>1</v>
      </c>
    </row>
    <row r="282" spans="1:26" s="437" customFormat="1" ht="15" customHeight="1" x14ac:dyDescent="0.3">
      <c r="A282" s="436">
        <v>394813</v>
      </c>
      <c r="C282" s="1" t="str">
        <f>CONCATENATE(H282,"-",J18)</f>
        <v>2350-biały mat</v>
      </c>
      <c r="D282" s="436">
        <v>394813</v>
      </c>
      <c r="E282" s="48" t="str">
        <f>+VLOOKUP(A282,cennik!A:G,2,FALSE)</f>
        <v>SEVROLL Gemini tor górny 2,35 m biały matowy</v>
      </c>
      <c r="F282" s="48" t="str">
        <f>+VLOOKUP(A282,cennik!A:B,2,FALSE)</f>
        <v>SEVROLL Gemini tor górny 2,35 m biały matowy</v>
      </c>
      <c r="H282" s="437">
        <v>2350</v>
      </c>
      <c r="I282" s="1" t="str">
        <f>CONCATENATE(H282,"-",J18)</f>
        <v>2350-biały mat</v>
      </c>
      <c r="Z282" s="1" t="b">
        <f t="shared" si="6"/>
        <v>1</v>
      </c>
    </row>
    <row r="283" spans="1:26" s="437" customFormat="1" ht="15" customHeight="1" x14ac:dyDescent="0.3">
      <c r="A283" s="436">
        <v>394815</v>
      </c>
      <c r="C283" s="1" t="str">
        <f>CONCATENATE(H283,"-",J18)</f>
        <v>4050-biały mat</v>
      </c>
      <c r="D283" s="436">
        <v>394815</v>
      </c>
      <c r="E283" s="48" t="str">
        <f>+VLOOKUP(A283,cennik!A:G,2,FALSE)</f>
        <v>SEVROLL Gemini tor górny 4,05 m biały matowy</v>
      </c>
      <c r="F283" s="48" t="str">
        <f>+VLOOKUP(A283,cennik!A:B,2,FALSE)</f>
        <v>SEVROLL Gemini tor górny 4,05 m biały matowy</v>
      </c>
      <c r="H283" s="437">
        <v>4050</v>
      </c>
      <c r="I283" s="1" t="str">
        <f>CONCATENATE(H283,"-",J18)</f>
        <v>4050-biały mat</v>
      </c>
      <c r="Z283" s="1" t="b">
        <f t="shared" si="6"/>
        <v>1</v>
      </c>
    </row>
    <row r="284" spans="1:26" s="437" customFormat="1" ht="15" customHeight="1" x14ac:dyDescent="0.3">
      <c r="A284" s="436">
        <v>394824</v>
      </c>
      <c r="C284" s="1" t="str">
        <f>CONCATENATE(H284,"-",J18)</f>
        <v>6000-biały mat</v>
      </c>
      <c r="D284" s="436">
        <v>394824</v>
      </c>
      <c r="E284" s="48" t="str">
        <f>+VLOOKUP(A284,cennik!A:G,2,FALSE)</f>
        <v>SEVROLL Gemini tor górny 6m biały matowy</v>
      </c>
      <c r="F284" s="48" t="str">
        <f>+VLOOKUP(A284,cennik!A:B,2,FALSE)</f>
        <v>SEVROLL Gemini tor górny 6m biały matowy</v>
      </c>
      <c r="H284" s="437">
        <v>6000</v>
      </c>
      <c r="I284" s="1" t="str">
        <f>CONCATENATE(H284,"-",J18)</f>
        <v>6000-biały mat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1500-srebrny</v>
      </c>
      <c r="D291" s="49">
        <v>349796</v>
      </c>
      <c r="E291" s="48" t="str">
        <f>+VLOOKUP(A291,cennik!A:G,2,FALSE)</f>
        <v>SEVROLL Blue tor górny 1,5m srebrny</v>
      </c>
      <c r="F291" s="48" t="str">
        <f>+VLOOKUP(A291,cennik!A:B,2,FALSE)</f>
        <v>SEVROLL Blue tor górny 1,5m srebrny</v>
      </c>
      <c r="H291" s="1">
        <v>1500</v>
      </c>
      <c r="I291" s="1" t="str">
        <f>CONCATENATE(H291,"-",J4)</f>
        <v>1500-srebrny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2000-srebrny</v>
      </c>
      <c r="D292" s="49">
        <v>349475</v>
      </c>
      <c r="E292" s="48" t="str">
        <f>+VLOOKUP(A292,cennik!A:G,2,FALSE)</f>
        <v>SEVROLL Blue tor górny 2m srebrny</v>
      </c>
      <c r="F292" s="48" t="str">
        <f>+VLOOKUP(A292,cennik!A:B,2,FALSE)</f>
        <v>SEVROLL Blue tor górny 2m srebrny</v>
      </c>
      <c r="G292" s="1" t="e">
        <f>+VLOOKUP(A292,#REF!,4,FALSE)</f>
        <v>#REF!</v>
      </c>
      <c r="H292" s="1">
        <v>2000</v>
      </c>
      <c r="I292" s="1" t="str">
        <f>CONCATENATE(H292,"-",J4)</f>
        <v>2000-srebrny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3000-srebrny</v>
      </c>
      <c r="D293" s="49">
        <v>349802</v>
      </c>
      <c r="E293" s="48" t="str">
        <f>+VLOOKUP(A293,cennik!A:G,2,FALSE)</f>
        <v>SEVROLL Blue tor górny 3 m, srebrny</v>
      </c>
      <c r="F293" s="48" t="str">
        <f>+VLOOKUP(A293,cennik!A:B,2,FALSE)</f>
        <v>SEVROLL Blue tor górny 3 m, srebrny</v>
      </c>
      <c r="H293" s="1">
        <v>3000</v>
      </c>
      <c r="I293" s="1" t="str">
        <f>CONCATENATE(H293,"-",J4)</f>
        <v>3000-srebrny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4000-srebrny</v>
      </c>
      <c r="D294" s="49">
        <v>349804</v>
      </c>
      <c r="E294" s="48" t="str">
        <f>+VLOOKUP(A294,cennik!A:G,2,FALSE)</f>
        <v>SEVROLL Blue tor górny 4m srebrny</v>
      </c>
      <c r="F294" s="48" t="str">
        <f>+VLOOKUP(A294,cennik!A:B,2,FALSE)</f>
        <v>SEVROLL Blue tor górny 4m srebrny</v>
      </c>
      <c r="H294" s="1">
        <v>4000</v>
      </c>
      <c r="I294" s="1" t="str">
        <f>CONCATENATE(H294,"-",J4)</f>
        <v>4000-srebrny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6000-srebrny</v>
      </c>
      <c r="D295" s="49">
        <v>349807</v>
      </c>
      <c r="E295" s="48" t="str">
        <f>+VLOOKUP(A295,cennik!A:G,2,FALSE)</f>
        <v>SEVROLL Blue tor górny 6 m, srebrny</v>
      </c>
      <c r="F295" s="48" t="str">
        <f>+VLOOKUP(A295,cennik!A:B,2,FALSE)</f>
        <v>SEVROLL Blue tor górny 6 m, srebrny</v>
      </c>
      <c r="H295" s="1">
        <v>6000</v>
      </c>
      <c r="I295" s="1" t="str">
        <f>CONCATENATE(H295,"-",J4)</f>
        <v>6000-srebrny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1500-j.brąz</v>
      </c>
      <c r="D296" s="49">
        <v>349797</v>
      </c>
      <c r="E296" s="48" t="str">
        <f>+VLOOKUP(A296,cennik!A:G,2,FALSE)</f>
        <v>SEVROLL Blue tor górny 1,5m jasny brąz</v>
      </c>
      <c r="F296" s="48" t="str">
        <f>+VLOOKUP(A296,cennik!A:B,2,FALSE)</f>
        <v>SEVROLL Blue tor górny 1,5m jasny brąz</v>
      </c>
      <c r="H296" s="1">
        <v>1500</v>
      </c>
      <c r="I296" s="1" t="str">
        <f>CONCATENATE(H296,"-",J6)</f>
        <v>1500-j.brąz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2000-j.brąz</v>
      </c>
      <c r="D297" s="49">
        <v>349798</v>
      </c>
      <c r="E297" s="48" t="str">
        <f>+VLOOKUP(A297,cennik!A:G,2,FALSE)</f>
        <v>SEVROLL Blue tor górny 2 m, jasny brąz</v>
      </c>
      <c r="F297" s="48" t="str">
        <f>+VLOOKUP(A297,cennik!A:B,2,FALSE)</f>
        <v>SEVROLL Blue tor górny 2 m, jasny brąz</v>
      </c>
      <c r="H297" s="1">
        <v>2000</v>
      </c>
      <c r="I297" s="1" t="str">
        <f>CONCATENATE(H297,"-",J6)</f>
        <v>2000-j.brąz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3000-j.brąz</v>
      </c>
      <c r="D298" s="49">
        <v>349801</v>
      </c>
      <c r="E298" s="48" t="str">
        <f>+VLOOKUP(A298,cennik!A:G,2,FALSE)</f>
        <v>SEVROLL Blue tor górny 3 m, jasny brąz</v>
      </c>
      <c r="F298" s="48" t="str">
        <f>+VLOOKUP(A298,cennik!A:B,2,FALSE)</f>
        <v>SEVROLL Blue tor górny 3 m, jasny brąz</v>
      </c>
      <c r="H298" s="1">
        <v>3000</v>
      </c>
      <c r="I298" s="1" t="str">
        <f>CONCATENATE(H298,"-",J6)</f>
        <v>3000-j.brąz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 czarny mat</v>
      </c>
      <c r="D299" s="2">
        <v>488266</v>
      </c>
      <c r="E299" s="48" t="str">
        <f>+VLOOKUP(A299,cennik!A:G,2,FALSE)</f>
        <v>SEVROLL 05754 Blue tor gótny 2m czarny mat</v>
      </c>
      <c r="F299" s="48" t="str">
        <f>+VLOOKUP(A299,cennik!A:B,2,FALSE)</f>
        <v>SEVROLL 05754 Blue tor gótny 2m czarny mat</v>
      </c>
      <c r="H299" s="1">
        <v>2000</v>
      </c>
      <c r="I299" s="1" t="str">
        <f>CONCATENATE(H299,"-",J17)</f>
        <v>2000- czarny mat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 czarny mat</v>
      </c>
      <c r="D300" s="2">
        <v>488267</v>
      </c>
      <c r="E300" s="48" t="str">
        <f>+VLOOKUP(A300,cennik!A:G,2,FALSE)</f>
        <v>SEVROLL 05755 Blue tor górny 3m czarny mat</v>
      </c>
      <c r="F300" s="48" t="str">
        <f>+VLOOKUP(A300,cennik!A:B,2,FALSE)</f>
        <v>SEVROLL 05755 Blue tor górny 3m czarny mat</v>
      </c>
      <c r="H300" s="1">
        <v>3000</v>
      </c>
      <c r="I300" s="1" t="str">
        <f>CONCATENATE(H300,"-",J17)</f>
        <v>3000- czarny mat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 czarny mat</v>
      </c>
      <c r="D301" s="2">
        <v>488268</v>
      </c>
      <c r="E301" s="48" t="str">
        <f>+VLOOKUP(A301,cennik!A:G,2,FALSE)</f>
        <v>SEVROLL 05756 Blue tor górny 6m czarny mat</v>
      </c>
      <c r="F301" s="48" t="str">
        <f>+VLOOKUP(A301,cennik!A:B,2,FALSE)</f>
        <v>SEVROLL 05756 Blue tor górny 6m czarny mat</v>
      </c>
      <c r="H301" s="1">
        <v>6000</v>
      </c>
      <c r="I301" s="1" t="str">
        <f>CONCATENATE(H301,"-",J17)</f>
        <v>6000- czarny mat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 czarny mat</v>
      </c>
      <c r="D302" s="2">
        <v>488266</v>
      </c>
      <c r="E302" s="48" t="str">
        <f>+VLOOKUP(A302,cennik!A:G,2,FALSE)</f>
        <v>SEVROLL 05754 Blue tor gótny 2m czarny mat</v>
      </c>
      <c r="F302" s="48" t="str">
        <f>+VLOOKUP(A302,cennik!A:B,2,FALSE)</f>
        <v>SEVROLL 05754 Blue tor gótny 2m czarny mat</v>
      </c>
      <c r="H302" s="1">
        <v>1500</v>
      </c>
      <c r="I302" s="1" t="str">
        <f>CONCATENATE(H302,"-",J17)</f>
        <v>1500- czarny mat</v>
      </c>
      <c r="Z302" s="1" t="b">
        <f t="shared" si="7"/>
        <v>1</v>
      </c>
    </row>
    <row r="303" spans="1:26" ht="15" customHeight="1" x14ac:dyDescent="0.3">
      <c r="A303" s="434">
        <v>394287</v>
      </c>
      <c r="B303" s="434"/>
      <c r="C303" s="434" t="str">
        <f>CONCATENATE(H303,"-",J15)</f>
        <v>1500- biały połysk</v>
      </c>
      <c r="D303" s="434">
        <v>394287</v>
      </c>
      <c r="E303" s="432" t="str">
        <f>+VLOOKUP(A303,cennik!A:G,2,FALSE)</f>
        <v>SEVROLL Blue tor gótny 2m biały błyszczący</v>
      </c>
      <c r="F303" s="432" t="str">
        <f>+VLOOKUP(A303,cennik!A:B,2,FALSE)</f>
        <v>SEVROLL Blue tor gótny 2m biały błyszczący</v>
      </c>
      <c r="G303" s="434"/>
      <c r="H303" s="434">
        <v>1500</v>
      </c>
      <c r="I303" s="434" t="str">
        <f>CONCATENATE(H303,"-",J15)</f>
        <v>1500- biały połysk</v>
      </c>
      <c r="Z303" s="1" t="b">
        <f t="shared" si="7"/>
        <v>1</v>
      </c>
    </row>
    <row r="304" spans="1:26" ht="15" customHeight="1" x14ac:dyDescent="0.3">
      <c r="A304" s="434">
        <v>394287</v>
      </c>
      <c r="B304" s="434"/>
      <c r="C304" s="434" t="str">
        <f>CONCATENATE(H304,"-",J15)</f>
        <v>2000- biały połysk</v>
      </c>
      <c r="D304" s="434">
        <v>394287</v>
      </c>
      <c r="E304" s="432" t="str">
        <f>+VLOOKUP(A304,cennik!A:G,2,FALSE)</f>
        <v>SEVROLL Blue tor gótny 2m biały błyszczący</v>
      </c>
      <c r="F304" s="432" t="str">
        <f>+VLOOKUP(A304,cennik!A:B,2,FALSE)</f>
        <v>SEVROLL Blue tor gótny 2m biały błyszczący</v>
      </c>
      <c r="G304" s="434"/>
      <c r="H304" s="434">
        <v>2000</v>
      </c>
      <c r="I304" s="434" t="str">
        <f>CONCATENATE(H304,"-",J15)</f>
        <v>2000- biały połysk</v>
      </c>
      <c r="Z304" s="1" t="b">
        <f t="shared" si="7"/>
        <v>1</v>
      </c>
    </row>
    <row r="305" spans="1:26" ht="15" customHeight="1" x14ac:dyDescent="0.3">
      <c r="A305" s="434">
        <v>394289</v>
      </c>
      <c r="B305" s="434"/>
      <c r="C305" s="434" t="str">
        <f>CONCATENATE(H305,"-",J15)</f>
        <v>3000- biały połysk</v>
      </c>
      <c r="D305" s="434">
        <v>394289</v>
      </c>
      <c r="E305" s="432" t="str">
        <f>+VLOOKUP(A305,cennik!A:G,2,FALSE)</f>
        <v>SEVROLL Blue tor górny 3m biały połysk</v>
      </c>
      <c r="F305" s="432" t="str">
        <f>+VLOOKUP(A305,cennik!A:B,2,FALSE)</f>
        <v>SEVROLL Blue tor górny 3m biały połysk</v>
      </c>
      <c r="G305" s="434"/>
      <c r="H305" s="434">
        <v>3000</v>
      </c>
      <c r="I305" s="434" t="str">
        <f>CONCATENATE(H305,"-",J15)</f>
        <v>3000- biały połysk</v>
      </c>
      <c r="Z305" s="1" t="b">
        <f t="shared" si="7"/>
        <v>1</v>
      </c>
    </row>
    <row r="306" spans="1:26" ht="15" customHeight="1" x14ac:dyDescent="0.3">
      <c r="A306" s="434">
        <v>394290</v>
      </c>
      <c r="B306" s="434"/>
      <c r="C306" s="434" t="str">
        <f>CONCATENATE(H306,"-",J15)</f>
        <v>6000- biały połysk</v>
      </c>
      <c r="D306" s="434">
        <v>394290</v>
      </c>
      <c r="E306" s="432" t="str">
        <f>+VLOOKUP(A306,cennik!A:G,2,FALSE)</f>
        <v>SEVROLL Blue tor górny 6m biały połysk</v>
      </c>
      <c r="F306" s="432" t="str">
        <f>+VLOOKUP(A306,cennik!A:B,2,FALSE)</f>
        <v>SEVROLL Blue tor górny 6m biały połysk</v>
      </c>
      <c r="G306" s="434"/>
      <c r="H306" s="434">
        <v>6000</v>
      </c>
      <c r="I306" s="434" t="str">
        <f>CONCATENATE(H306,"-",J15)</f>
        <v>6000- biały połysk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4000-j.brąz</v>
      </c>
      <c r="D307" s="49">
        <v>349805</v>
      </c>
      <c r="E307" s="48" t="str">
        <f>+VLOOKUP(A307,cennik!A:G,2,FALSE)</f>
        <v>SEVROLL Blue tor górny 4 m, jasny brąz</v>
      </c>
      <c r="F307" s="48" t="str">
        <f>+VLOOKUP(A307,cennik!A:B,2,FALSE)</f>
        <v>SEVROLL Blue tor górny 4 m, jasny brąz</v>
      </c>
      <c r="H307" s="1">
        <v>4000</v>
      </c>
      <c r="I307" s="1" t="str">
        <f>CONCATENATE(H307,"-",J6)</f>
        <v>4000-j.brąz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6000-j.brąz</v>
      </c>
      <c r="D308" s="49">
        <v>349806</v>
      </c>
      <c r="E308" s="48" t="str">
        <f>+VLOOKUP(A308,cennik!A:G,2,FALSE)</f>
        <v>SEVROLL Blue tor górny 6 m, jasny brąz</v>
      </c>
      <c r="F308" s="48" t="str">
        <f>+VLOOKUP(A308,cennik!A:B,2,FALSE)</f>
        <v>SEVROLL Blue tor górny 6 m, jasny brąz</v>
      </c>
      <c r="H308" s="1">
        <v>6000</v>
      </c>
      <c r="I308" s="1" t="str">
        <f>CONCATENATE(H308,"-",J6)</f>
        <v>6000-j.brąz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1500-srebrny</v>
      </c>
      <c r="D311" s="49">
        <v>349810</v>
      </c>
      <c r="E311" s="48" t="str">
        <f>+VLOOKUP(A311,cennik!A:G,2,FALSE)</f>
        <v>SEVROLL Blue-V tor dolny 1,5m srebrny</v>
      </c>
      <c r="F311" s="48" t="str">
        <f>+VLOOKUP(A311,cennik!A:B,2,FALSE)</f>
        <v>SEVROLL Blue-V tor dolny 1,5m srebrny</v>
      </c>
      <c r="H311" s="1">
        <v>1500</v>
      </c>
      <c r="I311" s="1" t="str">
        <f>CONCATENATE(H311,"-",J4)</f>
        <v>1500-srebrny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2000-srebrny</v>
      </c>
      <c r="D312" s="49">
        <v>349476</v>
      </c>
      <c r="E312" s="48" t="str">
        <f>+VLOOKUP(A312,cennik!A:G,2,FALSE)</f>
        <v>SEVROLL Blue-V tor dolny 2m srebrny</v>
      </c>
      <c r="F312" s="48" t="str">
        <f>+VLOOKUP(A312,cennik!A:B,2,FALSE)</f>
        <v>SEVROLL Blue-V tor dolny 2m srebrny</v>
      </c>
      <c r="G312" s="1" t="e">
        <f>+VLOOKUP(A312,#REF!,4,FALSE)</f>
        <v>#REF!</v>
      </c>
      <c r="H312" s="1">
        <v>2000</v>
      </c>
      <c r="I312" s="1" t="str">
        <f>CONCATENATE(H312,"-",J4)</f>
        <v>2000-srebrny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3000-srebrny</v>
      </c>
      <c r="D313" s="49">
        <v>349814</v>
      </c>
      <c r="E313" s="48" t="str">
        <f>+VLOOKUP(A313,cennik!A:G,2,FALSE)</f>
        <v>SEVROLL Blue-V tor dolny 3m srebrny</v>
      </c>
      <c r="F313" s="48" t="str">
        <f>+VLOOKUP(A313,cennik!A:B,2,FALSE)</f>
        <v>SEVROLL Blue-V tor dolny 3m srebrny</v>
      </c>
      <c r="H313" s="1">
        <v>3000</v>
      </c>
      <c r="I313" s="1" t="str">
        <f>CONCATENATE(H313,"-",J4)</f>
        <v>3000-srebrny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4000-srebrny</v>
      </c>
      <c r="D314" s="49">
        <v>349819</v>
      </c>
      <c r="E314" s="48" t="str">
        <f>+VLOOKUP(A314,cennik!A:G,2,FALSE)</f>
        <v>SEVROLL Blue-V tor dolny 4m srebrny</v>
      </c>
      <c r="F314" s="48" t="str">
        <f>+VLOOKUP(A314,cennik!A:B,2,FALSE)</f>
        <v>SEVROLL Blue-V tor dolny 4m srebrny</v>
      </c>
      <c r="H314" s="1">
        <v>4000</v>
      </c>
      <c r="I314" s="1" t="str">
        <f>CONCATENATE(H314,"-",J4)</f>
        <v>4000-srebrny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6000-srebrny</v>
      </c>
      <c r="D315" s="49">
        <v>349818</v>
      </c>
      <c r="E315" s="48" t="str">
        <f>+VLOOKUP(A315,cennik!A:G,2,FALSE)</f>
        <v>SEVROLL Blue-V tor dolny 6m srebrny</v>
      </c>
      <c r="F315" s="48" t="str">
        <f>+VLOOKUP(A315,cennik!A:B,2,FALSE)</f>
        <v>SEVROLL Blue-V tor dolny 6m srebrny</v>
      </c>
      <c r="H315" s="1">
        <v>6000</v>
      </c>
      <c r="I315" s="1" t="str">
        <f>CONCATENATE(H315,"-",J4)</f>
        <v>6000-srebrny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 czarny mat</v>
      </c>
      <c r="D316" s="2">
        <v>488257</v>
      </c>
      <c r="E316" s="48" t="str">
        <f>+VLOOKUP(A316,cennik!A:G,2,FALSE)</f>
        <v>SEVROLL 05751 Blue-V tor dolny 2m  czarny mat</v>
      </c>
      <c r="F316" s="48" t="str">
        <f>+VLOOKUP(A316,cennik!A:B,2,FALSE)</f>
        <v>SEVROLL 05751 Blue-V tor dolny 2m  czarny mat</v>
      </c>
      <c r="H316" s="1">
        <v>1500</v>
      </c>
      <c r="I316" s="1" t="str">
        <f>CONCATENATE(H316,"-",J17)</f>
        <v>1500- czarny mat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 czarny mat</v>
      </c>
      <c r="D317" s="2">
        <v>488257</v>
      </c>
      <c r="E317" s="48" t="str">
        <f>+VLOOKUP(A317,cennik!A:G,2,FALSE)</f>
        <v>SEVROLL 05751 Blue-V tor dolny 2m  czarny mat</v>
      </c>
      <c r="F317" s="48" t="str">
        <f>+VLOOKUP(A317,cennik!A:B,2,FALSE)</f>
        <v>SEVROLL 05751 Blue-V tor dolny 2m  czarny mat</v>
      </c>
      <c r="H317" s="1">
        <v>2000</v>
      </c>
      <c r="I317" s="1" t="str">
        <f>CONCATENATE(H317,"-",J17)</f>
        <v>2000- czarny mat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 czarny mat</v>
      </c>
      <c r="D318" s="2">
        <v>488258</v>
      </c>
      <c r="E318" s="48" t="str">
        <f>+VLOOKUP(A318,cennik!A:G,2,FALSE)</f>
        <v>SEVROLL 05752 Blue-V tor dolny 3m czarny mat</v>
      </c>
      <c r="F318" s="48" t="str">
        <f>+VLOOKUP(A318,cennik!A:B,2,FALSE)</f>
        <v>SEVROLL 05752 Blue-V tor dolny 3m czarny mat</v>
      </c>
      <c r="H318" s="1">
        <v>3000</v>
      </c>
      <c r="I318" s="1" t="str">
        <f>CONCATENATE(H318,"-",J17)</f>
        <v>3000- czarny mat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 czarny mat</v>
      </c>
      <c r="D319" s="2">
        <v>488259</v>
      </c>
      <c r="E319" s="48" t="str">
        <f>+VLOOKUP(A319,cennik!A:G,2,FALSE)</f>
        <v>SEVROLL 05753 Blue-V tor dolny 6m czarny mat</v>
      </c>
      <c r="F319" s="48" t="str">
        <f>+VLOOKUP(A319,cennik!A:B,2,FALSE)</f>
        <v>SEVROLL 05753 Blue-V tor dolny 6m czarny mat</v>
      </c>
      <c r="H319" s="1">
        <v>6000</v>
      </c>
      <c r="I319" s="1" t="str">
        <f>CONCATENATE(H319,"-",J17)</f>
        <v>6000- czarny mat</v>
      </c>
      <c r="Z319" s="1" t="b">
        <f t="shared" si="7"/>
        <v>1</v>
      </c>
    </row>
    <row r="320" spans="1:26" ht="15" customHeight="1" x14ac:dyDescent="0.3">
      <c r="A320" s="434">
        <v>394283</v>
      </c>
      <c r="B320" s="434"/>
      <c r="C320" s="434" t="str">
        <f>CONCATENATE(H320,"-",J15)</f>
        <v>2000- biały połysk</v>
      </c>
      <c r="D320" s="434">
        <v>394283</v>
      </c>
      <c r="E320" s="432" t="str">
        <f>+VLOOKUP(A320,cennik!A:G,2,FALSE)</f>
        <v>SEVROLL Blue-V tor dolny 2m  biały połysk</v>
      </c>
      <c r="F320" s="432" t="str">
        <f>+VLOOKUP(A320,cennik!A:B,2,FALSE)</f>
        <v>SEVROLL Blue-V tor dolny 2m  biały połysk</v>
      </c>
      <c r="G320" s="434"/>
      <c r="H320" s="434">
        <v>2000</v>
      </c>
      <c r="I320" s="434" t="str">
        <f>CONCATENATE(H320,"-",J15)</f>
        <v>2000- biały połysk</v>
      </c>
      <c r="Z320" s="1" t="b">
        <f t="shared" si="7"/>
        <v>1</v>
      </c>
    </row>
    <row r="321" spans="1:26" ht="15" customHeight="1" x14ac:dyDescent="0.3">
      <c r="A321" s="434">
        <v>394284</v>
      </c>
      <c r="B321" s="434"/>
      <c r="C321" s="434" t="str">
        <f>CONCATENATE(H321,"-",J15)</f>
        <v>3000- biały połysk</v>
      </c>
      <c r="D321" s="434">
        <v>394284</v>
      </c>
      <c r="E321" s="432" t="str">
        <f>+VLOOKUP(A321,cennik!A:G,2,FALSE)</f>
        <v>SEVROLL Blue-V tor dolny 3m biały połysk</v>
      </c>
      <c r="F321" s="432" t="str">
        <f>+VLOOKUP(A321,cennik!A:B,2,FALSE)</f>
        <v>SEVROLL Blue-V tor dolny 3m biały połysk</v>
      </c>
      <c r="G321" s="434"/>
      <c r="H321" s="434">
        <v>3000</v>
      </c>
      <c r="I321" s="434" t="str">
        <f>CONCATENATE(H321,"-",J15)</f>
        <v>3000- biały połysk</v>
      </c>
      <c r="Z321" s="1" t="b">
        <f t="shared" si="7"/>
        <v>1</v>
      </c>
    </row>
    <row r="322" spans="1:26" ht="15" customHeight="1" x14ac:dyDescent="0.3">
      <c r="A322" s="434">
        <v>394285</v>
      </c>
      <c r="B322" s="434"/>
      <c r="C322" s="434" t="str">
        <f>CONCATENATE(H322,"-",J15)</f>
        <v>6000- biały połysk</v>
      </c>
      <c r="D322" s="434">
        <v>394285</v>
      </c>
      <c r="E322" s="432" t="str">
        <f>+VLOOKUP(A322,cennik!A:G,2,FALSE)</f>
        <v>SEVROLL Blue-V tor dolny 6m biały połysk</v>
      </c>
      <c r="F322" s="432" t="str">
        <f>+VLOOKUP(A322,cennik!A:B,2,FALSE)</f>
        <v>SEVROLL Blue-V tor dolny 6m biały połysk</v>
      </c>
      <c r="G322" s="434"/>
      <c r="H322" s="434">
        <v>6000</v>
      </c>
      <c r="I322" s="434" t="str">
        <f>CONCATENATE(H322,"-",J15)</f>
        <v>6000- biały połysk</v>
      </c>
      <c r="Z322" s="1" t="b">
        <f t="shared" si="7"/>
        <v>1</v>
      </c>
    </row>
    <row r="323" spans="1:26" ht="15" customHeight="1" x14ac:dyDescent="0.3">
      <c r="A323" s="434">
        <v>394283</v>
      </c>
      <c r="B323" s="434"/>
      <c r="C323" s="434" t="str">
        <f>CONCATENATE(H323,"-",J15)</f>
        <v>1500- biały połysk</v>
      </c>
      <c r="D323" s="434">
        <v>394283</v>
      </c>
      <c r="E323" s="432" t="str">
        <f>+VLOOKUP(A323,cennik!A:G,2,FALSE)</f>
        <v>SEVROLL Blue-V tor dolny 2m  biały połysk</v>
      </c>
      <c r="F323" s="432" t="str">
        <f>+VLOOKUP(A323,cennik!A:B,2,FALSE)</f>
        <v>SEVROLL Blue-V tor dolny 2m  biały połysk</v>
      </c>
      <c r="G323" s="434"/>
      <c r="H323" s="434">
        <v>1500</v>
      </c>
      <c r="I323" s="434" t="str">
        <f>CONCATENATE(H323,"-",J15)</f>
        <v>1500- biały połysk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1500-j.brąz</v>
      </c>
      <c r="D324" s="49">
        <v>349812</v>
      </c>
      <c r="E324" s="48" t="str">
        <f>+VLOOKUP(A324,cennik!A:G,2,FALSE)</f>
        <v>SEVROLL Blue-V tor dolny 1,5m jasny brąz</v>
      </c>
      <c r="F324" s="48" t="str">
        <f>+VLOOKUP(A324,cennik!A:B,2,FALSE)</f>
        <v>SEVROLL Blue-V tor dolny 1,5m jasny brąz</v>
      </c>
      <c r="H324" s="1">
        <v>1500</v>
      </c>
      <c r="I324" s="1" t="str">
        <f>CONCATENATE(H324,"-",J6)</f>
        <v>1500-j.brąz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2000-j.brąz</v>
      </c>
      <c r="D325" s="49">
        <v>349809</v>
      </c>
      <c r="E325" s="48" t="str">
        <f>+VLOOKUP(A325,cennik!A:G,2,FALSE)</f>
        <v>SEVROLL Blue-V tor dolny 2 m, jasny brąz</v>
      </c>
      <c r="F325" s="48" t="str">
        <f>+VLOOKUP(A325,cennik!A:B,2,FALSE)</f>
        <v>SEVROLL Blue-V tor dolny 2 m, jasny brąz</v>
      </c>
      <c r="H325" s="1">
        <v>2000</v>
      </c>
      <c r="I325" s="1" t="str">
        <f>CONCATENATE(H325,"-",J6)</f>
        <v>2000-j.brąz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3000-j.brąz</v>
      </c>
      <c r="D326" s="49">
        <v>349815</v>
      </c>
      <c r="E326" s="48" t="str">
        <f>+VLOOKUP(A326,cennik!A:G,2,FALSE)</f>
        <v>SEVROLL Blue-V tor dolny 3 m, jasny brąz</v>
      </c>
      <c r="F326" s="48" t="str">
        <f>+VLOOKUP(A326,cennik!A:B,2,FALSE)</f>
        <v>SEVROLL Blue-V tor dolny 3 m, jasny brąz</v>
      </c>
      <c r="H326" s="1">
        <v>3000</v>
      </c>
      <c r="I326" s="1" t="str">
        <f>CONCATENATE(H326,"-",J6)</f>
        <v>3000-j.brąz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4000-j.brąz</v>
      </c>
      <c r="D327" s="49">
        <v>349816</v>
      </c>
      <c r="E327" s="48" t="str">
        <f>+VLOOKUP(A327,cennik!A:G,2,FALSE)</f>
        <v>SEVROLL Blue-V tor dolny 4m jasny brąz</v>
      </c>
      <c r="F327" s="48" t="str">
        <f>+VLOOKUP(A327,cennik!A:B,2,FALSE)</f>
        <v>SEVROLL Blue-V tor dolny 4m jasny brąz</v>
      </c>
      <c r="H327" s="1">
        <v>4000</v>
      </c>
      <c r="I327" s="1" t="str">
        <f>CONCATENATE(H327,"-",J6)</f>
        <v>4000-j.brąz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6000-j.brąz</v>
      </c>
      <c r="D328" s="49">
        <v>349817</v>
      </c>
      <c r="E328" s="48" t="str">
        <f>+VLOOKUP(A328,cennik!A:G,2,FALSE)</f>
        <v>SEVROLL Blue-V tor dolny 6m jasny brąz</v>
      </c>
      <c r="F328" s="48" t="str">
        <f>+VLOOKUP(A328,cennik!A:B,2,FALSE)</f>
        <v>SEVROLL Blue-V tor dolny 6m jasny brąz</v>
      </c>
      <c r="H328" s="1">
        <v>6000</v>
      </c>
      <c r="I328" s="1" t="str">
        <f>CONCATENATE(H328,"-",J6)</f>
        <v>6000-j.brąz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srebrny</v>
      </c>
      <c r="D330" s="49">
        <v>98073</v>
      </c>
      <c r="E330" s="48" t="str">
        <f>+VLOOKUP(A330,cennik!A:G,2,FALSE)</f>
        <v>SEVROLL System 10 II rączka 2,7 m, srebrna</v>
      </c>
      <c r="F330" s="48" t="str">
        <f>+VLOOKUP(A330,cennik!A:B,2,FALSE)</f>
        <v>SEVROLL System 10 II rączka 2,7 m, srebrna</v>
      </c>
      <c r="G330" s="1" t="e">
        <f>+VLOOKUP(A330,#REF!,4,FALSE)</f>
        <v>#REF!</v>
      </c>
      <c r="I330" s="1" t="str">
        <f>J4</f>
        <v>srebrny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j.brąz</v>
      </c>
      <c r="D331" s="49">
        <v>98074</v>
      </c>
      <c r="E331" s="48" t="str">
        <f>+VLOOKUP(A331,cennik!A:G,2,FALSE)</f>
        <v>SEVROLL System 10 II rączka 2,7 m, oliwka</v>
      </c>
      <c r="F331" s="48" t="str">
        <f>+VLOOKUP(A331,cennik!A:B,2,FALSE)</f>
        <v>SEVROLL System 10 II rączka 2,7 m, oliwka</v>
      </c>
      <c r="G331" s="1" t="e">
        <f>+VLOOKUP(A331,#REF!,4,FALSE)</f>
        <v>#REF!</v>
      </c>
      <c r="I331" s="1" t="str">
        <f>J6</f>
        <v>j.brąz</v>
      </c>
      <c r="Z331" s="1" t="b">
        <f t="shared" si="7"/>
        <v>1</v>
      </c>
    </row>
    <row r="332" spans="1:26" ht="15" customHeight="1" x14ac:dyDescent="0.3">
      <c r="A332" s="49">
        <v>542874</v>
      </c>
      <c r="B332" s="48"/>
      <c r="C332" s="1" t="str">
        <f>J5</f>
        <v>złoty/mosiądz</v>
      </c>
      <c r="D332" s="49">
        <v>542874</v>
      </c>
      <c r="E332" s="48" t="str">
        <f>+VLOOKUP(A332,cennik!A:G,2,FALSE)</f>
        <v>SEVROLL 06821 System 10 II rączka 2,7m złoty/mosiądz</v>
      </c>
      <c r="F332" s="48" t="str">
        <f>+VLOOKUP(A332,cennik!A:B,2,FALSE)</f>
        <v>SEVROLL 06821 System 10 II rączka 2,7m złoty/mosiądz</v>
      </c>
      <c r="G332" s="1" t="e">
        <f>+VLOOKUP(A332,#REF!,4,FALSE)</f>
        <v>#REF!</v>
      </c>
      <c r="I332" s="1" t="str">
        <f>J5</f>
        <v>złoty/mosiądz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3">
      <c r="A335" s="421">
        <v>89230</v>
      </c>
      <c r="B335" s="419"/>
      <c r="C335" s="417" t="str">
        <f>CONCATENATE(H335,"-",J4)</f>
        <v>1700-srebrny</v>
      </c>
      <c r="D335" s="421">
        <v>89230</v>
      </c>
      <c r="E335" s="419" t="str">
        <f>+VLOOKUP(A335,cennik!A:G,2,FALSE)</f>
        <v>SEVROLL listwa pozioma górna 1,7m srebrny</v>
      </c>
      <c r="F335" s="419" t="str">
        <f>+VLOOKUP(A335,cennik!A:B,2,FALSE)</f>
        <v>SEVROLL listwa pozioma górna 1,7m srebrny</v>
      </c>
      <c r="G335" s="417" t="e">
        <f>+VLOOKUP(A335,#REF!,4,FALSE)</f>
        <v>#REF!</v>
      </c>
      <c r="H335" s="417">
        <v>1700</v>
      </c>
      <c r="I335" s="417" t="str">
        <f>CONCATENATE(H335,"-",J4)</f>
        <v>1700-srebrny</v>
      </c>
      <c r="Z335" s="1" t="b">
        <f t="shared" si="7"/>
        <v>1</v>
      </c>
    </row>
    <row r="336" spans="1:26" s="417" customFormat="1" ht="15" customHeight="1" x14ac:dyDescent="0.3">
      <c r="A336" s="421">
        <v>89231</v>
      </c>
      <c r="B336" s="419"/>
      <c r="C336" s="417" t="str">
        <f>CONCATENATE(H336,"-",J6)</f>
        <v>1700-j.brąz</v>
      </c>
      <c r="D336" s="421">
        <v>89231</v>
      </c>
      <c r="E336" s="419" t="str">
        <f>+VLOOKUP(A336,cennik!A:G,2,FALSE)</f>
        <v>SEVROLL listwa pozioma górna 1,7m jasny brąz</v>
      </c>
      <c r="F336" s="419" t="str">
        <f>+VLOOKUP(A336,cennik!A:B,2,FALSE)</f>
        <v>SEVROLL listwa pozioma górna 1,7m jasny brąz</v>
      </c>
      <c r="G336" s="417" t="e">
        <f>+VLOOKUP(A336,#REF!,4,FALSE)</f>
        <v>#REF!</v>
      </c>
      <c r="H336" s="417">
        <v>1700</v>
      </c>
      <c r="I336" s="417" t="str">
        <f>CONCATENATE(H336,"-",J6)</f>
        <v>1700-j.brąz</v>
      </c>
      <c r="Z336" s="1" t="b">
        <f t="shared" si="7"/>
        <v>1</v>
      </c>
    </row>
    <row r="337" spans="1:26" s="417" customFormat="1" ht="15" customHeight="1" x14ac:dyDescent="0.3">
      <c r="A337" s="421">
        <v>542864</v>
      </c>
      <c r="B337" s="419"/>
      <c r="C337" s="417" t="str">
        <f>CONCATENATE(H337,"-",J5)</f>
        <v>1700-złoty/mosiądz</v>
      </c>
      <c r="D337" s="421">
        <v>542864</v>
      </c>
      <c r="E337" s="419" t="str">
        <f>+VLOOKUP(A337,cennik!A:G,2,FALSE)</f>
        <v>SEVROLL 06813 listwa pozioma górna 1,7 m złota/mosiądz</v>
      </c>
      <c r="F337" s="419" t="str">
        <f>+VLOOKUP(A337,cennik!A:B,2,FALSE)</f>
        <v>SEVROLL 06813 listwa pozioma górna 1,7 m złota/mosiądz</v>
      </c>
      <c r="G337" s="417" t="e">
        <f>+VLOOKUP(A337,#REF!,4,FALSE)</f>
        <v>#REF!</v>
      </c>
      <c r="H337" s="417">
        <v>1700</v>
      </c>
      <c r="I337" s="417" t="str">
        <f>CONCATENATE(H337,"-",J5)</f>
        <v>1700-złoty/mosiądz</v>
      </c>
      <c r="Z337" s="1" t="b">
        <f t="shared" si="7"/>
        <v>1</v>
      </c>
    </row>
    <row r="338" spans="1:26" s="417" customFormat="1" ht="15" customHeight="1" x14ac:dyDescent="0.3">
      <c r="A338" s="421">
        <v>89232</v>
      </c>
      <c r="B338" s="419"/>
      <c r="C338" s="417" t="str">
        <f>CONCATENATE(H338,"-",J4)</f>
        <v>2350-srebrny</v>
      </c>
      <c r="D338" s="421">
        <v>89232</v>
      </c>
      <c r="E338" s="419" t="str">
        <f>+VLOOKUP(A338,cennik!A:G,2,FALSE)</f>
        <v>SEVROLL listwa pozioma górna 2,35m srebrny</v>
      </c>
      <c r="F338" s="419" t="str">
        <f>+VLOOKUP(A338,cennik!A:B,2,FALSE)</f>
        <v>SEVROLL listwa pozioma górna 2,35m srebrny</v>
      </c>
      <c r="G338" s="417" t="e">
        <f>+VLOOKUP(A338,#REF!,4,FALSE)</f>
        <v>#REF!</v>
      </c>
      <c r="H338" s="417">
        <v>2350</v>
      </c>
      <c r="I338" s="417" t="str">
        <f>CONCATENATE(H338,"-",J4)</f>
        <v>2350-srebrny</v>
      </c>
      <c r="Z338" s="1" t="b">
        <f t="shared" si="7"/>
        <v>1</v>
      </c>
    </row>
    <row r="339" spans="1:26" s="417" customFormat="1" ht="15" customHeight="1" x14ac:dyDescent="0.3">
      <c r="A339" s="421">
        <v>89233</v>
      </c>
      <c r="B339" s="419"/>
      <c r="C339" s="417" t="str">
        <f>CONCATENATE(H339,"-",J6)</f>
        <v>2350-j.brąz</v>
      </c>
      <c r="D339" s="421">
        <v>89233</v>
      </c>
      <c r="E339" s="419" t="str">
        <f>+VLOOKUP(A339,cennik!A:G,2,FALSE)</f>
        <v>SEVROLL listwa pozioma górna 2,35m jasny brąz</v>
      </c>
      <c r="F339" s="419" t="str">
        <f>+VLOOKUP(A339,cennik!A:B,2,FALSE)</f>
        <v>SEVROLL listwa pozioma górna 2,35m jasny brąz</v>
      </c>
      <c r="G339" s="417" t="e">
        <f>+VLOOKUP(A339,#REF!,4,FALSE)</f>
        <v>#REF!</v>
      </c>
      <c r="H339" s="417">
        <v>2350</v>
      </c>
      <c r="I339" s="417" t="str">
        <f>CONCATENATE(H339,"-",J6)</f>
        <v>2350-j.brąz</v>
      </c>
      <c r="Z339" s="1" t="b">
        <f t="shared" si="7"/>
        <v>1</v>
      </c>
    </row>
    <row r="340" spans="1:26" s="417" customFormat="1" ht="15" customHeight="1" x14ac:dyDescent="0.3">
      <c r="A340" s="421">
        <v>542865</v>
      </c>
      <c r="B340" s="419"/>
      <c r="C340" s="417" t="str">
        <f>CONCATENATE(H340,"-",J5)</f>
        <v>2350-złoty/mosiądz</v>
      </c>
      <c r="D340" s="421">
        <v>542865</v>
      </c>
      <c r="E340" s="419" t="str">
        <f>+VLOOKUP(A340,cennik!A:G,2,FALSE)</f>
        <v>SEVROLL 06811 listwa pozioma górna 2,35m złoty/mosiądz</v>
      </c>
      <c r="F340" s="419" t="str">
        <f>+VLOOKUP(A340,cennik!A:B,2,FALSE)</f>
        <v>SEVROLL 06811 listwa pozioma górna 2,35m złoty/mosiądz</v>
      </c>
      <c r="G340" s="417" t="e">
        <f>+VLOOKUP(A340,#REF!,4,FALSE)</f>
        <v>#REF!</v>
      </c>
      <c r="H340" s="417">
        <v>2350</v>
      </c>
      <c r="I340" s="417" t="str">
        <f>CONCATENATE(H340,"-",J5)</f>
        <v>2350-złoty/mosiądz</v>
      </c>
      <c r="Z340" s="1" t="b">
        <f t="shared" si="7"/>
        <v>1</v>
      </c>
    </row>
    <row r="341" spans="1:26" s="417" customFormat="1" ht="15" customHeight="1" x14ac:dyDescent="0.3">
      <c r="A341" s="421">
        <v>89234</v>
      </c>
      <c r="B341" s="419"/>
      <c r="C341" s="417" t="str">
        <f>CONCATENATE(H341,"-",J4)</f>
        <v>3000-srebrny</v>
      </c>
      <c r="D341" s="421">
        <v>89234</v>
      </c>
      <c r="E341" s="419" t="str">
        <f>+VLOOKUP(A341,cennik!A:G,2,FALSE)</f>
        <v>SEVROLL listwa pozioma górna 3m srebrny</v>
      </c>
      <c r="F341" s="419" t="str">
        <f>+VLOOKUP(A341,cennik!A:B,2,FALSE)</f>
        <v>SEVROLL listwa pozioma górna 3m srebrny</v>
      </c>
      <c r="G341" s="417" t="e">
        <f>+VLOOKUP(A341,#REF!,4,FALSE)</f>
        <v>#REF!</v>
      </c>
      <c r="H341" s="417">
        <v>3000</v>
      </c>
      <c r="I341" s="417" t="str">
        <f>CONCATENATE(H341,"-",J4)</f>
        <v>3000-srebrny</v>
      </c>
      <c r="Z341" s="1" t="b">
        <f t="shared" si="7"/>
        <v>1</v>
      </c>
    </row>
    <row r="342" spans="1:26" s="417" customFormat="1" ht="15" customHeight="1" x14ac:dyDescent="0.3">
      <c r="A342" s="421">
        <v>89235</v>
      </c>
      <c r="B342" s="419"/>
      <c r="C342" s="417" t="str">
        <f>CONCATENATE(H342,"-",J6)</f>
        <v>3000-j.brąz</v>
      </c>
      <c r="D342" s="421">
        <v>89235</v>
      </c>
      <c r="E342" s="419" t="str">
        <f>+VLOOKUP(A342,cennik!A:G,2,FALSE)</f>
        <v>SEVROLL listwa pozioma górna 3m jasny brąz</v>
      </c>
      <c r="F342" s="419" t="str">
        <f>+VLOOKUP(A342,cennik!A:B,2,FALSE)</f>
        <v>SEVROLL listwa pozioma górna 3m jasny brąz</v>
      </c>
      <c r="G342" s="417" t="e">
        <f>+VLOOKUP(A342,#REF!,4,FALSE)</f>
        <v>#REF!</v>
      </c>
      <c r="H342" s="417">
        <v>3000</v>
      </c>
      <c r="I342" s="417" t="str">
        <f>CONCATENATE(H342,"-",J6)</f>
        <v>3000-j.brąz</v>
      </c>
      <c r="Z342" s="1" t="b">
        <f t="shared" si="7"/>
        <v>1</v>
      </c>
    </row>
    <row r="343" spans="1:26" s="417" customFormat="1" ht="15" customHeight="1" x14ac:dyDescent="0.3">
      <c r="A343" s="421">
        <v>542866</v>
      </c>
      <c r="B343" s="419"/>
      <c r="C343" s="417" t="str">
        <f>CONCATENATE(H343,"-",J5)</f>
        <v>3000-złoty/mosiądz</v>
      </c>
      <c r="D343" s="421">
        <v>542866</v>
      </c>
      <c r="E343" s="419" t="str">
        <f>+VLOOKUP(A343,cennik!A:G,2,FALSE)</f>
        <v>SEVROLL 06815 listwa pozioma górna 3m złoty/mosiądz</v>
      </c>
      <c r="F343" s="419" t="str">
        <f>+VLOOKUP(A343,cennik!A:B,2,FALSE)</f>
        <v>SEVROLL 06815 listwa pozioma górna 3m złoty/mosiądz</v>
      </c>
      <c r="G343" s="417" t="e">
        <f>+VLOOKUP(A343,#REF!,4,FALSE)</f>
        <v>#REF!</v>
      </c>
      <c r="H343" s="417">
        <v>3000</v>
      </c>
      <c r="I343" s="417" t="str">
        <f>CONCATENATE(H343,"-",J5)</f>
        <v>3000-złoty/mosiądz</v>
      </c>
      <c r="Z343" s="1" t="b">
        <f t="shared" si="7"/>
        <v>1</v>
      </c>
    </row>
    <row r="344" spans="1:26" s="417" customFormat="1" ht="15" customHeight="1" x14ac:dyDescent="0.3">
      <c r="A344" s="421" t="s">
        <v>25</v>
      </c>
      <c r="B344" s="419"/>
      <c r="C344" s="417" t="str">
        <f>CONCATENATE(H344,"-",J4)</f>
        <v>4050-srebrny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4050-srebrny</v>
      </c>
      <c r="Z344" s="1" t="b">
        <f t="shared" si="7"/>
        <v>1</v>
      </c>
    </row>
    <row r="345" spans="1:26" s="417" customFormat="1" ht="15" customHeight="1" x14ac:dyDescent="0.3">
      <c r="A345" s="421" t="s">
        <v>26</v>
      </c>
      <c r="B345" s="419"/>
      <c r="C345" s="417" t="str">
        <f>CONCATENATE(H345,"-",J6)</f>
        <v>4050-j.brąz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4050-j.brąz</v>
      </c>
      <c r="Z345" s="1" t="b">
        <f t="shared" si="7"/>
        <v>1</v>
      </c>
    </row>
    <row r="346" spans="1:26" s="417" customFormat="1" ht="15" customHeight="1" x14ac:dyDescent="0.3">
      <c r="A346" s="421" t="s">
        <v>27</v>
      </c>
      <c r="B346" s="419"/>
      <c r="C346" s="417" t="str">
        <f>CONCATENATE(H346,"-",J5)</f>
        <v>4050-złoty/mosiądz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4050-złoty/mosiądz</v>
      </c>
      <c r="Z346" s="1" t="b">
        <f t="shared" si="7"/>
        <v>1</v>
      </c>
    </row>
    <row r="347" spans="1:26" s="417" customFormat="1" ht="15" customHeight="1" x14ac:dyDescent="0.3">
      <c r="A347" s="421">
        <v>422043</v>
      </c>
      <c r="B347" s="419"/>
      <c r="C347" s="417" t="str">
        <f>CONCATENATE(H347,"-",J17)</f>
        <v>1700- czarny mat</v>
      </c>
      <c r="D347" s="421">
        <v>422043</v>
      </c>
      <c r="E347" s="419" t="str">
        <f>+VLOOKUP(A347,cennik!A:G,2,FALSE)</f>
        <v>SEVROLL listwa pozioma górna 1,7m czarny mat</v>
      </c>
      <c r="F347" s="419" t="str">
        <f>+VLOOKUP(A347,cennik!A:B,2,FALSE)</f>
        <v>SEVROLL listwa pozioma górna 1,7m czarny mat</v>
      </c>
      <c r="H347" s="417">
        <v>1700</v>
      </c>
      <c r="I347" s="417" t="str">
        <f>CONCATENATE(H347,"-",J17)</f>
        <v>1700- czarny mat</v>
      </c>
      <c r="Z347" s="1" t="b">
        <f t="shared" si="7"/>
        <v>1</v>
      </c>
    </row>
    <row r="348" spans="1:26" s="417" customFormat="1" ht="15" customHeight="1" x14ac:dyDescent="0.3">
      <c r="A348" s="421">
        <v>452608</v>
      </c>
      <c r="B348" s="419"/>
      <c r="C348" s="417" t="str">
        <f>CONCATENATE(H348,"-",J17)</f>
        <v>2350- czarny mat</v>
      </c>
      <c r="D348" s="421">
        <v>452608</v>
      </c>
      <c r="E348" s="419" t="str">
        <f>+VLOOKUP(A348,cennik!A:G,2,FALSE)</f>
        <v>SEVROLL listwa pozioma górna 2,35m czarny mat</v>
      </c>
      <c r="F348" s="419" t="str">
        <f>+VLOOKUP(A348,cennik!A:B,2,FALSE)</f>
        <v>SEVROLL listwa pozioma górna 2,35m czarny mat</v>
      </c>
      <c r="H348" s="417">
        <v>2350</v>
      </c>
      <c r="I348" s="417" t="str">
        <f>CONCATENATE(H348,"-",J17)</f>
        <v>2350- czarny mat</v>
      </c>
      <c r="Z348" s="1" t="b">
        <f t="shared" si="7"/>
        <v>1</v>
      </c>
    </row>
    <row r="349" spans="1:26" s="417" customFormat="1" ht="15" customHeight="1" x14ac:dyDescent="0.3">
      <c r="A349" s="421">
        <v>452734</v>
      </c>
      <c r="B349" s="419"/>
      <c r="C349" s="417" t="str">
        <f>CONCATENATE(H349,"-",J17)</f>
        <v>3000- czarny mat</v>
      </c>
      <c r="D349" s="421">
        <v>452734</v>
      </c>
      <c r="E349" s="419" t="str">
        <f>+VLOOKUP(A349,cennik!A:G,2,FALSE)</f>
        <v>SEVROLL listwa pozioma górna 3m czarny mat</v>
      </c>
      <c r="F349" s="419" t="str">
        <f>+VLOOKUP(A349,cennik!A:B,2,FALSE)</f>
        <v>SEVROLL listwa pozioma górna 3m czarny mat</v>
      </c>
      <c r="H349" s="417">
        <v>3000</v>
      </c>
      <c r="I349" s="417" t="str">
        <f>CONCATENATE(H349,"-",J17)</f>
        <v>3000- czarny mat</v>
      </c>
      <c r="Z349" s="1" t="b">
        <f t="shared" si="7"/>
        <v>1</v>
      </c>
    </row>
    <row r="350" spans="1:26" s="417" customFormat="1" ht="15" customHeight="1" x14ac:dyDescent="0.3">
      <c r="A350" s="421">
        <v>119414</v>
      </c>
      <c r="B350" s="419"/>
      <c r="C350" s="417" t="str">
        <f>CONCATENATE(H350,"-",J7)</f>
        <v>1700-j.brąz szczotkowany</v>
      </c>
      <c r="D350" s="421">
        <v>119414</v>
      </c>
      <c r="E350" s="419" t="str">
        <f>+VLOOKUP(A350,cennik!A:G,2,FALSE)</f>
        <v>SEVROLL 03042-Y górna listwa prowadząca 1,7m jasny brąz szczotkowany</v>
      </c>
      <c r="F350" s="419" t="str">
        <f>+VLOOKUP(A350,cennik!A:B,2,FALSE)</f>
        <v>SEVROLL 03042-Y górna listwa prowadząca 1,7m jasny brąz szczotkowany</v>
      </c>
      <c r="G350" s="417" t="e">
        <f>+VLOOKUP(A350,#REF!,4,FALSE)</f>
        <v>#REF!</v>
      </c>
      <c r="H350" s="417">
        <v>1700</v>
      </c>
      <c r="I350" s="417" t="str">
        <f>CONCATENATE(H350,"-",J7)</f>
        <v>1700-j.brąz szczotkowany</v>
      </c>
      <c r="Z350" s="1" t="b">
        <f t="shared" si="7"/>
        <v>1</v>
      </c>
    </row>
    <row r="351" spans="1:26" s="417" customFormat="1" ht="15" customHeight="1" x14ac:dyDescent="0.3">
      <c r="A351" s="421">
        <v>119415</v>
      </c>
      <c r="B351" s="419"/>
      <c r="C351" s="417" t="str">
        <f>CONCATENATE(H351,"-",J7)</f>
        <v>2350-j.brąz szczotkowany</v>
      </c>
      <c r="D351" s="421">
        <v>119415</v>
      </c>
      <c r="E351" s="419" t="str">
        <f>+VLOOKUP(A351,cennik!A:G,2,FALSE)</f>
        <v>SEVROLL 03043-Y górna listwa prowadząca 2,35m  jasny brąz szczotkowany</v>
      </c>
      <c r="F351" s="419" t="str">
        <f>+VLOOKUP(A351,cennik!A:B,2,FALSE)</f>
        <v>SEVROLL 03043-Y górna listwa prowadząca 2,35m  jasny brąz szczotkowany</v>
      </c>
      <c r="G351" s="417" t="e">
        <f>+VLOOKUP(A351,#REF!,4,FALSE)</f>
        <v>#REF!</v>
      </c>
      <c r="H351" s="417">
        <v>2350</v>
      </c>
      <c r="I351" s="417" t="str">
        <f>CONCATENATE(H351,"-",J7)</f>
        <v>2350-j.brąz szczotkowany</v>
      </c>
      <c r="Z351" s="1" t="b">
        <f t="shared" si="7"/>
        <v>1</v>
      </c>
    </row>
    <row r="352" spans="1:26" s="417" customFormat="1" ht="15" customHeight="1" x14ac:dyDescent="0.3">
      <c r="A352" s="421">
        <v>119416</v>
      </c>
      <c r="B352" s="419"/>
      <c r="C352" s="417" t="str">
        <f>CONCATENATE(H352,"-",J7)</f>
        <v>3000-j.brąz szczotkowany</v>
      </c>
      <c r="D352" s="421">
        <v>119416</v>
      </c>
      <c r="E352" s="419" t="str">
        <f>+VLOOKUP(A352,cennik!A:G,2,FALSE)</f>
        <v>SEVROLL 03044-Y górna listwa prowadząca 3m  jasny brąz szczotkowany</v>
      </c>
      <c r="F352" s="419" t="str">
        <f>+VLOOKUP(A352,cennik!A:B,2,FALSE)</f>
        <v>SEVROLL 03044-Y górna listwa prowadząca 3m  jasny brąz szczotkowany</v>
      </c>
      <c r="G352" s="417" t="e">
        <f>+VLOOKUP(A352,#REF!,4,FALSE)</f>
        <v>#REF!</v>
      </c>
      <c r="H352" s="417">
        <v>3000</v>
      </c>
      <c r="I352" s="417" t="str">
        <f>CONCATENATE(H352,"-",J7)</f>
        <v>3000-j.brąz szczotkowany</v>
      </c>
      <c r="Z352" s="1" t="b">
        <f t="shared" si="7"/>
        <v>1</v>
      </c>
    </row>
    <row r="353" spans="1:26" s="417" customFormat="1" ht="15" customHeight="1" x14ac:dyDescent="0.3">
      <c r="A353" s="196">
        <v>526496</v>
      </c>
      <c r="B353" s="419"/>
      <c r="C353" s="417" t="str">
        <f>CONCATENATE(H353,"-",J22)</f>
        <v>1700-czarny lakier strukturalny</v>
      </c>
      <c r="D353" s="196">
        <v>526496</v>
      </c>
      <c r="E353" s="419" t="str">
        <f>+VLOOKUP(A353,cennik!A:G,2,FALSE)</f>
        <v>SEVROLL 06441 listwa pozioma górna 1,7m czarny lakier strukturalny</v>
      </c>
      <c r="F353" s="419" t="str">
        <f>+VLOOKUP(A353,cennik!A:B,2,FALSE)</f>
        <v>SEVROLL 06441 listwa pozioma górna 1,7m czarny lakier strukturalny</v>
      </c>
      <c r="H353" s="417">
        <v>1700</v>
      </c>
      <c r="I353" s="417" t="str">
        <f>CONCATENATE(H353,"-",J22)</f>
        <v>1700-czarny lakier strukturalny</v>
      </c>
      <c r="Z353" s="1"/>
    </row>
    <row r="354" spans="1:26" s="417" customFormat="1" ht="15" customHeight="1" x14ac:dyDescent="0.3">
      <c r="A354" s="196">
        <v>526497</v>
      </c>
      <c r="B354" s="419"/>
      <c r="C354" s="417" t="str">
        <f>CONCATENATE(H354,"-",J22)</f>
        <v>2350-czarny lakier strukturalny</v>
      </c>
      <c r="D354" s="196">
        <v>526497</v>
      </c>
      <c r="E354" s="419" t="str">
        <f>+VLOOKUP(A354,cennik!A:G,2,FALSE)</f>
        <v>SEVROLL 06442 listwa pozioma górna 2,35m czarny lakier strukturalny</v>
      </c>
      <c r="F354" s="419" t="str">
        <f>+VLOOKUP(A354,cennik!A:B,2,FALSE)</f>
        <v>SEVROLL 06442 listwa pozioma górna 2,35m czarny lakier strukturalny</v>
      </c>
      <c r="H354" s="417">
        <v>2350</v>
      </c>
      <c r="I354" s="417" t="str">
        <f>CONCATENATE(H354,"-",J22)</f>
        <v>2350-czarny lakier strukturalny</v>
      </c>
      <c r="Z354" s="1"/>
    </row>
    <row r="355" spans="1:26" s="417" customFormat="1" ht="15" customHeight="1" x14ac:dyDescent="0.3">
      <c r="A355" s="196">
        <v>526500</v>
      </c>
      <c r="B355" s="419"/>
      <c r="C355" s="417" t="str">
        <f>CONCATENATE(H355,"-",J22)</f>
        <v>3000-czarny lakier strukturalny</v>
      </c>
      <c r="D355" s="196">
        <v>526500</v>
      </c>
      <c r="E355" s="419" t="str">
        <f>+VLOOKUP(A355,cennik!A:G,2,FALSE)</f>
        <v>SEVROLL 06124 listwa pozioma górna 3m czarny lakier strukturalny</v>
      </c>
      <c r="F355" s="419" t="str">
        <f>+VLOOKUP(A355,cennik!A:B,2,FALSE)</f>
        <v>SEVROLL 06124 listwa pozioma górna 3m czarny lakier strukturalny</v>
      </c>
      <c r="H355" s="417">
        <v>3000</v>
      </c>
      <c r="I355" s="417" t="str">
        <f>CONCATENATE(H355,"-",J22)</f>
        <v>3000-czarny lakier strukturalny</v>
      </c>
      <c r="Z355" s="1"/>
    </row>
    <row r="356" spans="1:26" s="417" customFormat="1" ht="15" customHeight="1" x14ac:dyDescent="0.3">
      <c r="A356" s="421">
        <v>205103</v>
      </c>
      <c r="B356" s="419"/>
      <c r="C356" s="417" t="str">
        <f>CONCATENATE(H356,"-",J8)</f>
        <v>1700-szczot.oliwa ciemna</v>
      </c>
      <c r="D356" s="421">
        <v>205103</v>
      </c>
      <c r="E356" s="419" t="str">
        <f>+VLOOKUP(A356,cennik!A:G,2,FALSE)</f>
        <v>SEVROLL listwa pozioma górna 1,7 m oliwka ciemna szczotkowana</v>
      </c>
      <c r="F356" s="419" t="str">
        <f>+VLOOKUP(A356,cennik!A:B,2,FALSE)</f>
        <v>SEVROLL listwa pozioma górna 1,7 m oliwka ciemna szczotkowana</v>
      </c>
      <c r="G356" s="417" t="e">
        <f>+VLOOKUP(A356,#REF!,4,FALSE)</f>
        <v>#REF!</v>
      </c>
      <c r="H356" s="417">
        <v>1700</v>
      </c>
      <c r="I356" s="417" t="str">
        <f>CONCATENATE(H356,"-",J8)</f>
        <v>1700-szczot.oliwa ciemna</v>
      </c>
      <c r="Z356" s="1" t="b">
        <f t="shared" si="7"/>
        <v>1</v>
      </c>
    </row>
    <row r="357" spans="1:26" s="417" customFormat="1" ht="15" customHeight="1" x14ac:dyDescent="0.3">
      <c r="A357" s="421">
        <v>205156</v>
      </c>
      <c r="B357" s="419"/>
      <c r="C357" s="417" t="str">
        <f>CONCATENATE(H357,"-",J8)</f>
        <v>2350-szczot.oliwa ciemna</v>
      </c>
      <c r="D357" s="421">
        <v>205156</v>
      </c>
      <c r="E357" s="419" t="str">
        <f>+VLOOKUP(A357,cennik!A:G,2,FALSE)</f>
        <v>SEVROLL listwa pozioma górna 2,35 m oliwka ciemna szczotkowana</v>
      </c>
      <c r="F357" s="419" t="str">
        <f>+VLOOKUP(A357,cennik!A:B,2,FALSE)</f>
        <v>SEVROLL listwa pozioma górna 2,35 m oliwka ciemna szczotkowana</v>
      </c>
      <c r="G357" s="417" t="e">
        <f>+VLOOKUP(A357,#REF!,4,FALSE)</f>
        <v>#REF!</v>
      </c>
      <c r="H357" s="417">
        <v>2350</v>
      </c>
      <c r="I357" s="417" t="str">
        <f>CONCATENATE(H357,"-",J8)</f>
        <v>2350-szczot.oliwa ciemna</v>
      </c>
      <c r="Z357" s="1" t="b">
        <f t="shared" si="7"/>
        <v>1</v>
      </c>
    </row>
    <row r="358" spans="1:26" s="417" customFormat="1" ht="15" customHeight="1" x14ac:dyDescent="0.3">
      <c r="A358" s="421">
        <v>205158</v>
      </c>
      <c r="B358" s="419"/>
      <c r="C358" s="417" t="str">
        <f>CONCATENATE(H358,"-",J8)</f>
        <v>3000-szczot.oliwa ciemna</v>
      </c>
      <c r="D358" s="421">
        <v>205158</v>
      </c>
      <c r="E358" s="419" t="str">
        <f>+VLOOKUP(A358,cennik!A:G,2,FALSE)</f>
        <v>SEVROLL listwa pozioma górna 3 m oliwka ciemna szczotkowana</v>
      </c>
      <c r="F358" s="419" t="str">
        <f>+VLOOKUP(A358,cennik!A:B,2,FALSE)</f>
        <v>SEVROLL listwa pozioma górna 3 m oliwka ciemna szczotkowana</v>
      </c>
      <c r="G358" s="417" t="e">
        <f>+VLOOKUP(A358,#REF!,4,FALSE)</f>
        <v>#REF!</v>
      </c>
      <c r="H358" s="417">
        <v>3000</v>
      </c>
      <c r="I358" s="417" t="str">
        <f>CONCATENATE(H358,"-",J8)</f>
        <v>3000-szczot.oliwa ciemna</v>
      </c>
      <c r="Z358" s="1" t="b">
        <f t="shared" si="7"/>
        <v>1</v>
      </c>
    </row>
    <row r="359" spans="1:26" s="417" customFormat="1" ht="15" customHeight="1" x14ac:dyDescent="0.3">
      <c r="A359" s="421">
        <v>205105</v>
      </c>
      <c r="B359" s="419"/>
      <c r="C359" s="417" t="str">
        <f>CONCATENATE(H359,"-",J9)</f>
        <v>1700-szczot.czarna</v>
      </c>
      <c r="D359" s="421">
        <v>205105</v>
      </c>
      <c r="E359" s="419" t="str">
        <f>+VLOOKUP(A359,cennik!A:G,2,FALSE)</f>
        <v>SEVROLL listwa pozioma górna 1,7 m czarny szczotkowany</v>
      </c>
      <c r="F359" s="419" t="str">
        <f>+VLOOKUP(A359,cennik!A:B,2,FALSE)</f>
        <v>SEVROLL listwa pozioma górna 1,7 m czarny szczotkowany</v>
      </c>
      <c r="H359" s="417">
        <v>1700</v>
      </c>
      <c r="I359" s="417" t="str">
        <f>CONCATENATE(H359,"-",J9)</f>
        <v>1700-szczot.czarna</v>
      </c>
      <c r="Z359" s="1" t="b">
        <f t="shared" si="7"/>
        <v>1</v>
      </c>
    </row>
    <row r="360" spans="1:26" s="417" customFormat="1" ht="15" customHeight="1" x14ac:dyDescent="0.3">
      <c r="A360" s="421">
        <v>205157</v>
      </c>
      <c r="B360" s="419"/>
      <c r="C360" s="417" t="str">
        <f>CONCATENATE(H360,"-",J9)</f>
        <v>2350-szczot.czarna</v>
      </c>
      <c r="D360" s="421">
        <v>205157</v>
      </c>
      <c r="E360" s="419" t="str">
        <f>+VLOOKUP(A360,cennik!A:G,2,FALSE)</f>
        <v>SEVROLL listwa pozioma górna 2,35m czarny szczotkowany</v>
      </c>
      <c r="F360" s="419" t="str">
        <f>+VLOOKUP(A360,cennik!A:B,2,FALSE)</f>
        <v>SEVROLL listwa pozioma górna 2,35m czarny szczotkowany</v>
      </c>
      <c r="H360" s="417">
        <v>2350</v>
      </c>
      <c r="I360" s="417" t="str">
        <f>CONCATENATE(H360,"-",J9)</f>
        <v>2350-szczot.czarna</v>
      </c>
      <c r="Z360" s="1" t="b">
        <f t="shared" si="7"/>
        <v>1</v>
      </c>
    </row>
    <row r="361" spans="1:26" s="417" customFormat="1" ht="15" customHeight="1" x14ac:dyDescent="0.3">
      <c r="A361" s="421">
        <v>205159</v>
      </c>
      <c r="B361" s="419"/>
      <c r="C361" s="417" t="str">
        <f>CONCATENATE(H361,"-",J9)</f>
        <v>3000-szczot.czarna</v>
      </c>
      <c r="D361" s="421">
        <v>205159</v>
      </c>
      <c r="E361" s="419" t="str">
        <f>+VLOOKUP(A361,cennik!A:G,2,FALSE)</f>
        <v>SEVROLL listwa pozioma górna 3m czarny szczotkowany</v>
      </c>
      <c r="F361" s="419" t="str">
        <f>+VLOOKUP(A361,cennik!A:B,2,FALSE)</f>
        <v>SEVROLL listwa pozioma górna 3m czarny szczotkowany</v>
      </c>
      <c r="H361" s="417">
        <v>3000</v>
      </c>
      <c r="I361" s="417" t="str">
        <f>CONCATENATE(H361,"-",J9)</f>
        <v>3000-szczot.czarna</v>
      </c>
      <c r="Z361" s="1" t="b">
        <f t="shared" si="7"/>
        <v>1</v>
      </c>
    </row>
    <row r="362" spans="1:26" s="417" customFormat="1" ht="15" customHeight="1" x14ac:dyDescent="0.3">
      <c r="A362" s="421">
        <v>276737</v>
      </c>
      <c r="B362" s="419"/>
      <c r="C362" s="417" t="str">
        <f>CONCATENATE(H362,"-",J15)</f>
        <v>1700- biały połysk</v>
      </c>
      <c r="D362" s="421">
        <v>276737</v>
      </c>
      <c r="E362" s="419" t="str">
        <f>+VLOOKUP(A362,cennik!A:G,2,FALSE)</f>
        <v>SEVROLL listwa pozioma górna 1,7m biały połysk</v>
      </c>
      <c r="F362" s="419" t="str">
        <f>+VLOOKUP(A362,cennik!A:B,2,FALSE)</f>
        <v>SEVROLL listwa pozioma górna 1,7m biały połysk</v>
      </c>
      <c r="H362" s="417">
        <v>1700</v>
      </c>
      <c r="I362" s="417" t="str">
        <f>CONCATENATE(H362,"-",J15)</f>
        <v>1700- biały połysk</v>
      </c>
      <c r="Z362" s="1" t="b">
        <f t="shared" si="7"/>
        <v>1</v>
      </c>
    </row>
    <row r="363" spans="1:26" s="417" customFormat="1" ht="15" customHeight="1" x14ac:dyDescent="0.3">
      <c r="A363" s="421">
        <v>267944</v>
      </c>
      <c r="B363" s="419"/>
      <c r="C363" s="417" t="str">
        <f>CONCATENATE(H363,"-",J15)</f>
        <v>2350- biały połysk</v>
      </c>
      <c r="D363" s="421">
        <v>267944</v>
      </c>
      <c r="E363" s="419" t="str">
        <f>+VLOOKUP(A363,cennik!A:G,2,FALSE)</f>
        <v>SEVROLL listwa pozioma górna 2,35m biały połysk</v>
      </c>
      <c r="F363" s="419" t="str">
        <f>+VLOOKUP(A363,cennik!A:B,2,FALSE)</f>
        <v>SEVROLL listwa pozioma górna 2,35m biały połysk</v>
      </c>
      <c r="H363" s="417">
        <v>2350</v>
      </c>
      <c r="I363" s="417" t="str">
        <f>CONCATENATE(H363,"-",J15)</f>
        <v>2350- biały połysk</v>
      </c>
      <c r="Z363" s="1" t="b">
        <f t="shared" si="7"/>
        <v>1</v>
      </c>
    </row>
    <row r="364" spans="1:26" s="417" customFormat="1" ht="15" customHeight="1" x14ac:dyDescent="0.3">
      <c r="A364" s="421">
        <v>265066</v>
      </c>
      <c r="B364" s="419"/>
      <c r="C364" s="417" t="str">
        <f>CONCATENATE(H364,"-",J15)</f>
        <v>3000- biały połysk</v>
      </c>
      <c r="D364" s="421">
        <v>265066</v>
      </c>
      <c r="E364" s="419" t="str">
        <f>+VLOOKUP(A364,cennik!A:G,2,FALSE)</f>
        <v>SEVROLL listwa pozioma górna 3m biały połysk</v>
      </c>
      <c r="F364" s="419" t="str">
        <f>+VLOOKUP(A364,cennik!A:B,2,FALSE)</f>
        <v>SEVROLL listwa pozioma górna 3m biały połysk</v>
      </c>
      <c r="H364" s="417">
        <v>3000</v>
      </c>
      <c r="I364" s="417" t="str">
        <f>CONCATENATE(H364,"-",J15)</f>
        <v>3000- biały połysk</v>
      </c>
      <c r="Z364" s="1" t="b">
        <f t="shared" si="7"/>
        <v>1</v>
      </c>
    </row>
    <row r="365" spans="1:26" s="417" customFormat="1" ht="15" customHeight="1" x14ac:dyDescent="0.3">
      <c r="A365" s="421">
        <v>278058</v>
      </c>
      <c r="B365" s="419"/>
      <c r="C365" s="417" t="str">
        <f>CONCATENATE(H365,"-",J4)</f>
        <v>3000-srebrny</v>
      </c>
      <c r="D365" s="421">
        <v>278058</v>
      </c>
      <c r="E365" s="419" t="str">
        <f>+VLOOKUP(A365,cennik!A:G,2,FALSE)</f>
        <v>SEVROLL Pax listwa pozioma górna 3m srebrny</v>
      </c>
      <c r="F365" s="419" t="str">
        <f>+VLOOKUP(A365,cennik!A:B,2,FALSE)</f>
        <v>SEVROLL Pax listwa pozioma górna 3m srebrny</v>
      </c>
      <c r="H365" s="417">
        <v>3000</v>
      </c>
      <c r="I365" s="417" t="str">
        <f>CONCATENATE(H365,"-",J4)</f>
        <v>3000-srebrny</v>
      </c>
      <c r="Z365" s="1" t="b">
        <f t="shared" ref="Z365:Z437" si="8">A365=D365</f>
        <v>1</v>
      </c>
    </row>
    <row r="366" spans="1:26" s="417" customFormat="1" ht="15" customHeight="1" x14ac:dyDescent="0.3">
      <c r="A366" s="421">
        <v>284525</v>
      </c>
      <c r="B366" s="419"/>
      <c r="C366" s="417" t="str">
        <f>CONCATENATE(H366,"-",J15)</f>
        <v>3000- biały połysk</v>
      </c>
      <c r="D366" s="421">
        <v>284525</v>
      </c>
      <c r="E366" s="419" t="str">
        <f>+VLOOKUP(A366,cennik!A:G,2,FALSE)</f>
        <v>SEVROLL Pax tor dolny 3m biały połysk</v>
      </c>
      <c r="F366" s="419" t="str">
        <f>+VLOOKUP(A366,cennik!A:B,2,FALSE)</f>
        <v>SEVROLL Pax tor dolny 3m biały połysk</v>
      </c>
      <c r="H366" s="417">
        <v>3000</v>
      </c>
      <c r="I366" s="417" t="str">
        <f>CONCATENATE(H366,"-",J15)</f>
        <v>3000- biały połysk</v>
      </c>
      <c r="Z366" s="1" t="b">
        <f t="shared" si="8"/>
        <v>1</v>
      </c>
    </row>
    <row r="367" spans="1:26" s="417" customFormat="1" ht="15" customHeight="1" x14ac:dyDescent="0.3">
      <c r="A367" s="418">
        <v>405377</v>
      </c>
      <c r="C367" s="417" t="str">
        <f>CONCATENATE(H367,"-",J16)</f>
        <v>1700-czarny połysk</v>
      </c>
      <c r="D367" s="418">
        <v>405377</v>
      </c>
      <c r="E367" s="419" t="str">
        <f>+VLOOKUP(A367,cennik!A:G,2,FALSE)</f>
        <v>SEVROLL listwa pozioma górna 1,7m czarny połysk</v>
      </c>
      <c r="F367" s="419" t="str">
        <f>+VLOOKUP(A367,cennik!A:B,2,FALSE)</f>
        <v>SEVROLL listwa pozioma górna 1,7m czarny połysk</v>
      </c>
      <c r="H367" s="417">
        <v>1700</v>
      </c>
      <c r="I367" s="417" t="str">
        <f>CONCATENATE(H367,"-",J16)</f>
        <v>1700-czarny połysk</v>
      </c>
      <c r="Z367" s="1" t="b">
        <f t="shared" si="8"/>
        <v>1</v>
      </c>
    </row>
    <row r="368" spans="1:26" s="417" customFormat="1" ht="15" customHeight="1" x14ac:dyDescent="0.3">
      <c r="A368" s="418">
        <v>405379</v>
      </c>
      <c r="C368" s="417" t="str">
        <f>CONCATENATE(H368,"-",J16)</f>
        <v>2350-czarny połysk</v>
      </c>
      <c r="D368" s="418">
        <v>405379</v>
      </c>
      <c r="E368" s="419" t="str">
        <f>+VLOOKUP(A368,cennik!A:G,2,FALSE)</f>
        <v>SEVROLL listwa pozioma górna 2,35m czarny połysk</v>
      </c>
      <c r="F368" s="419" t="str">
        <f>+VLOOKUP(A368,cennik!A:B,2,FALSE)</f>
        <v>SEVROLL listwa pozioma górna 2,35m czarny połysk</v>
      </c>
      <c r="H368" s="417">
        <v>2350</v>
      </c>
      <c r="I368" s="417" t="str">
        <f>CONCATENATE(H368,"-",J16)</f>
        <v>2350-czarny połysk</v>
      </c>
      <c r="Z368" s="1" t="b">
        <f t="shared" si="8"/>
        <v>1</v>
      </c>
    </row>
    <row r="369" spans="1:26" s="417" customFormat="1" ht="15" customHeight="1" x14ac:dyDescent="0.3">
      <c r="A369" s="418">
        <v>405382</v>
      </c>
      <c r="C369" s="417" t="str">
        <f>CONCATENATE(H369,"-",J16)</f>
        <v>3000-czarny połysk</v>
      </c>
      <c r="D369" s="418">
        <v>405382</v>
      </c>
      <c r="E369" s="419" t="str">
        <f>+VLOOKUP(A369,cennik!A:G,2,FALSE)</f>
        <v>SEVROLL listwa pozioma górna 3m czarny połysk</v>
      </c>
      <c r="F369" s="419" t="str">
        <f>+VLOOKUP(A369,cennik!A:B,2,FALSE)</f>
        <v>SEVROLL listwa pozioma górna 3m czarny połysk</v>
      </c>
      <c r="H369" s="417">
        <v>3000</v>
      </c>
      <c r="I369" s="417" t="str">
        <f>CONCATENATE(H369,"-",J16)</f>
        <v>3000-czarny połysk</v>
      </c>
      <c r="Z369" s="1" t="b">
        <f t="shared" si="8"/>
        <v>1</v>
      </c>
    </row>
    <row r="370" spans="1:26" s="417" customFormat="1" ht="15" customHeight="1" x14ac:dyDescent="0.3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listwa pozioma górna 1,7m grafit</v>
      </c>
      <c r="F370" s="419" t="str">
        <f>+VLOOKUP(A370,cennik!A:B,2,FALSE)</f>
        <v>SEVROLL 06039 listwa pozioma górna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3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listwa pozioma górna 2,35m grafit</v>
      </c>
      <c r="F371" s="419" t="str">
        <f>+VLOOKUP(A371,cennik!A:B,2,FALSE)</f>
        <v>SEVROLL 06040 listwa pozioma górna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3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listwa pozioma górna 3m grafit</v>
      </c>
      <c r="F372" s="419" t="str">
        <f>+VLOOKUP(A372,cennik!A:B,2,FALSE)</f>
        <v>SEVROLL 05966 listwa pozioma górna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3">
      <c r="A373" s="418">
        <v>497670</v>
      </c>
      <c r="C373" s="417" t="str">
        <f>CONCATENATE(H373,"-",J18)</f>
        <v>1700-biały mat</v>
      </c>
      <c r="D373" s="418">
        <v>497670</v>
      </c>
      <c r="E373" s="419" t="str">
        <f>+VLOOKUP(A373,cennik!A:G,2,FALSE)</f>
        <v>SEVROLL 05942 listwa pozioma górna 1,7m biały mat</v>
      </c>
      <c r="F373" s="419" t="str">
        <f>+VLOOKUP(A373,cennik!A:B,2,FALSE)</f>
        <v>SEVROLL 05942 listwa pozioma górna 1,7m biały mat</v>
      </c>
      <c r="H373" s="417">
        <v>1700</v>
      </c>
      <c r="I373" s="417" t="str">
        <f>CONCATENATE(H373,"-",J18)</f>
        <v>1700-biały mat</v>
      </c>
      <c r="Z373" s="1"/>
    </row>
    <row r="374" spans="1:26" s="417" customFormat="1" ht="15" customHeight="1" x14ac:dyDescent="0.3">
      <c r="A374" s="418">
        <v>497672</v>
      </c>
      <c r="C374" s="417" t="str">
        <f>CONCATENATE(H374,"-",J18)</f>
        <v>2350-biały mat</v>
      </c>
      <c r="D374" s="418">
        <v>497672</v>
      </c>
      <c r="E374" s="419" t="str">
        <f>+VLOOKUP(A374,cennik!A:G,2,FALSE)</f>
        <v>SEVROLL 05943 listwa pozioma górna 2,35m biały mat</v>
      </c>
      <c r="F374" s="419" t="str">
        <f>+VLOOKUP(A374,cennik!A:B,2,FALSE)</f>
        <v>SEVROLL 05943 listwa pozioma górna 2,35m biały mat</v>
      </c>
      <c r="H374" s="417">
        <v>2350</v>
      </c>
      <c r="I374" s="417" t="str">
        <f>CONCATENATE(H374,"-",J18)</f>
        <v>2350-biały mat</v>
      </c>
      <c r="Z374" s="1"/>
    </row>
    <row r="375" spans="1:26" s="417" customFormat="1" ht="15" customHeight="1" x14ac:dyDescent="0.3">
      <c r="A375" s="418">
        <v>497673</v>
      </c>
      <c r="C375" s="417" t="str">
        <f>CONCATENATE(H375,"-",J18)</f>
        <v>3000-biały mat</v>
      </c>
      <c r="D375" s="418">
        <v>497673</v>
      </c>
      <c r="E375" s="419" t="str">
        <f>+VLOOKUP(A375,cennik!A:G,2,FALSE)</f>
        <v>SEVROLL listwa pozioma górna 3m biały mat</v>
      </c>
      <c r="F375" s="419" t="str">
        <f>+VLOOKUP(A375,cennik!A:B,2,FALSE)</f>
        <v>SEVROLL listwa pozioma górna 3m biały mat</v>
      </c>
      <c r="H375" s="417">
        <v>3000</v>
      </c>
      <c r="I375" s="417" t="str">
        <f>CONCATENATE(H375,"-",J18)</f>
        <v>3000-biały mat</v>
      </c>
      <c r="Z375" s="1"/>
    </row>
    <row r="376" spans="1:26" s="417" customFormat="1" ht="15" customHeight="1" x14ac:dyDescent="0.3">
      <c r="A376" s="417">
        <v>422043</v>
      </c>
      <c r="C376" s="417" t="str">
        <f>CONCATENATE(H376,"-",J17)</f>
        <v>1700- czarny mat</v>
      </c>
      <c r="D376" s="417">
        <v>422043</v>
      </c>
      <c r="E376" s="419" t="str">
        <f>+VLOOKUP(A376,cennik!A:G,2,FALSE)</f>
        <v>SEVROLL listwa pozioma górna 1,7m czarny mat</v>
      </c>
      <c r="F376" s="419" t="str">
        <f>+VLOOKUP(A376,cennik!A:B,2,FALSE)</f>
        <v>SEVROLL listwa pozioma górna 1,7m czarny mat</v>
      </c>
      <c r="H376" s="417">
        <v>1700</v>
      </c>
      <c r="I376" s="417" t="str">
        <f>CONCATENATE(H376,"-",J17)</f>
        <v>1700- czarny mat</v>
      </c>
      <c r="Z376" s="1" t="b">
        <f t="shared" si="8"/>
        <v>1</v>
      </c>
    </row>
    <row r="377" spans="1:26" s="417" customFormat="1" ht="15" customHeight="1" x14ac:dyDescent="0.3">
      <c r="A377" s="417">
        <v>452608</v>
      </c>
      <c r="C377" s="417" t="str">
        <f>CONCATENATE(H377,"-",J17)</f>
        <v>2350- czarny mat</v>
      </c>
      <c r="D377" s="417">
        <v>452608</v>
      </c>
      <c r="E377" s="419" t="str">
        <f>+VLOOKUP(A377,cennik!A:G,2,FALSE)</f>
        <v>SEVROLL listwa pozioma górna 2,35m czarny mat</v>
      </c>
      <c r="F377" s="419" t="str">
        <f>+VLOOKUP(A377,cennik!A:B,2,FALSE)</f>
        <v>SEVROLL listwa pozioma górna 2,35m czarny mat</v>
      </c>
      <c r="H377" s="417">
        <v>2350</v>
      </c>
      <c r="I377" s="417" t="str">
        <f>CONCATENATE(H377,"-",J17)</f>
        <v>2350- czarny mat</v>
      </c>
      <c r="Z377" s="1" t="b">
        <f t="shared" si="8"/>
        <v>1</v>
      </c>
    </row>
    <row r="378" spans="1:26" ht="15" customHeight="1" x14ac:dyDescent="0.3">
      <c r="A378" s="418">
        <v>452734</v>
      </c>
      <c r="B378" s="417"/>
      <c r="C378" s="417" t="str">
        <f>CONCATENATE(H378,"-",J17)</f>
        <v>3000- czarny mat</v>
      </c>
      <c r="D378" s="418">
        <v>452734</v>
      </c>
      <c r="E378" s="419" t="str">
        <f>+VLOOKUP(A378,cennik!A:G,2,FALSE)</f>
        <v>SEVROLL listwa pozioma górna 3m czarny mat</v>
      </c>
      <c r="F378" s="419" t="str">
        <f>+VLOOKUP(A378,cennik!A:B,2,FALSE)</f>
        <v>SEVROLL listwa pozioma górna 3m czarny mat</v>
      </c>
      <c r="G378" s="417"/>
      <c r="H378" s="417">
        <v>3000</v>
      </c>
      <c r="I378" s="417" t="str">
        <f>CONCATENATE(H378,"-",J17)</f>
        <v>3000- czarny mat</v>
      </c>
      <c r="Z378" s="1" t="b">
        <f t="shared" si="8"/>
        <v>1</v>
      </c>
    </row>
    <row r="379" spans="1:26" ht="15" customHeight="1" x14ac:dyDescent="0.3">
      <c r="A379" s="196">
        <v>526496</v>
      </c>
      <c r="B379" s="417"/>
      <c r="C379" s="417" t="str">
        <f>CONCATENATE(H379,"-",J22)</f>
        <v>1700-czarny lakier strukturalny</v>
      </c>
      <c r="D379" s="196">
        <v>526496</v>
      </c>
      <c r="E379" s="419" t="str">
        <f>+VLOOKUP(A379,cennik!A:G,2,FALSE)</f>
        <v>SEVROLL 06441 listwa pozioma górna 1,7m czarny lakier strukturalny</v>
      </c>
      <c r="F379" s="419" t="str">
        <f>+VLOOKUP(A379,cennik!A:B,2,FALSE)</f>
        <v>SEVROLL 06441 listwa pozioma górna 1,7m czarny lakier strukturalny</v>
      </c>
      <c r="G379" s="417"/>
      <c r="H379" s="417">
        <v>1700</v>
      </c>
      <c r="I379" s="417" t="str">
        <f>CONCATENATE(H379,"-",J22)</f>
        <v>1700-czarny lakier strukturalny</v>
      </c>
    </row>
    <row r="380" spans="1:26" ht="15" customHeight="1" x14ac:dyDescent="0.3">
      <c r="A380" s="196">
        <v>526497</v>
      </c>
      <c r="B380" s="417"/>
      <c r="C380" s="417" t="str">
        <f>CONCATENATE(H380,"-",J22)</f>
        <v>2350-czarny lakier strukturalny</v>
      </c>
      <c r="D380" s="196">
        <v>526497</v>
      </c>
      <c r="E380" s="419" t="str">
        <f>+VLOOKUP(A380,cennik!A:G,2,FALSE)</f>
        <v>SEVROLL 06442 listwa pozioma górna 2,35m czarny lakier strukturalny</v>
      </c>
      <c r="F380" s="419" t="str">
        <f>+VLOOKUP(A380,cennik!A:B,2,FALSE)</f>
        <v>SEVROLL 06442 listwa pozioma górna 2,35m czarny lakier strukturalny</v>
      </c>
      <c r="G380" s="417"/>
      <c r="H380" s="417">
        <v>2350</v>
      </c>
      <c r="I380" s="417" t="str">
        <f>CONCATENATE(H380,"-",J22)</f>
        <v>2350-czarny lakier strukturalny</v>
      </c>
    </row>
    <row r="381" spans="1:26" ht="15" customHeight="1" x14ac:dyDescent="0.3">
      <c r="A381" s="196">
        <v>526500</v>
      </c>
      <c r="B381" s="417"/>
      <c r="C381" s="417" t="str">
        <f>CONCATENATE(H381,"-",J22)</f>
        <v>3000-czarny lakier strukturalny</v>
      </c>
      <c r="D381" s="196">
        <v>526500</v>
      </c>
      <c r="E381" s="419" t="str">
        <f>+VLOOKUP(A381,cennik!A:G,2,FALSE)</f>
        <v>SEVROLL 06124 listwa pozioma górna 3m czarny lakier strukturalny</v>
      </c>
      <c r="F381" s="419" t="str">
        <f>+VLOOKUP(A381,cennik!A:B,2,FALSE)</f>
        <v>SEVROLL 06124 listwa pozioma górna 3m czarny lakier strukturalny</v>
      </c>
      <c r="G381" s="417"/>
      <c r="H381" s="417">
        <v>3000</v>
      </c>
      <c r="I381" s="417" t="str">
        <f>CONCATENATE(H381,"-",J22)</f>
        <v>3000-czarny lakier strukturalny</v>
      </c>
    </row>
    <row r="382" spans="1:26" ht="15" customHeight="1" x14ac:dyDescent="0.3">
      <c r="A382" s="2">
        <v>452735</v>
      </c>
      <c r="C382" s="1" t="str">
        <f>CONCATENATE(H382,"-",J17)</f>
        <v>3000- czarny mat</v>
      </c>
      <c r="D382" s="2">
        <v>452735</v>
      </c>
      <c r="E382" s="429" t="str">
        <f>+VLOOKUP(A382,cennik!A:G,2,FALSE)</f>
        <v>SEVROLL Pax tor dolny 3m czarny mat</v>
      </c>
      <c r="F382" s="48" t="str">
        <f>+VLOOKUP(A382,cennik!A:B,2,FALSE)</f>
        <v>SEVROLL Pax tor dolny 3m czarny mat</v>
      </c>
      <c r="H382" s="1">
        <v>3000</v>
      </c>
      <c r="I382" s="1" t="str">
        <f>CONCATENATE(H382,"-",J17)</f>
        <v>3000- czarny mat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1500-srebrny</v>
      </c>
      <c r="D384" s="49">
        <v>224146</v>
      </c>
      <c r="E384" s="48" t="str">
        <f>+VLOOKUP(A384,cennik!A:G,2,FALSE)</f>
        <v>SEVROLL tor dolny Simple/Blue 1,5m (do płyty laminowanej 10mm) srebrny</v>
      </c>
      <c r="F384" s="48" t="str">
        <f>+VLOOKUP(A384,cennik!A:B,2,FALSE)</f>
        <v>SEVROLL tor dolny Simple/Blue 1,5m (do płyty laminowanej 10mm) srebrny</v>
      </c>
      <c r="H384" s="1">
        <v>1500</v>
      </c>
      <c r="I384" s="1" t="str">
        <f>CONCATENATE(H384,"-",J4)</f>
        <v>1500-srebrny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2000-srebrny</v>
      </c>
      <c r="D385" s="49">
        <v>224147</v>
      </c>
      <c r="E385" s="48" t="str">
        <f>+VLOOKUP(A385,cennik!A:G,2,FALSE)</f>
        <v>SEVROLL tor dolny Simple/Blue 2m (do płyty laminowanej 10mm) srebrny</v>
      </c>
      <c r="F385" s="48" t="str">
        <f>+VLOOKUP(A385,cennik!A:B,2,FALSE)</f>
        <v>SEVROLL tor dolny Simple/Blue 2m (do płyty laminowanej 10mm) srebrny</v>
      </c>
      <c r="H385" s="1">
        <v>2000</v>
      </c>
      <c r="I385" s="1" t="str">
        <f>CONCATENATE(H385,"-",J4)</f>
        <v>2000-srebrny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3000-srebrny</v>
      </c>
      <c r="D386" s="49">
        <v>222573</v>
      </c>
      <c r="E386" s="48" t="str">
        <f>+VLOOKUP(A386,cennik!A:G,2,FALSE)</f>
        <v>SEVROLL tor dolny Simple/Blue 3m (do płyty laminowanej 10mm) srebrny</v>
      </c>
      <c r="F386" s="48" t="str">
        <f>+VLOOKUP(A386,cennik!A:B,2,FALSE)</f>
        <v>SEVROLL tor dolny Simple/Blue 3m (do płyty laminowanej 10mm) srebrny</v>
      </c>
      <c r="H386" s="1">
        <v>3000</v>
      </c>
      <c r="I386" s="1" t="str">
        <f>CONCATENATE(H386,"-",J4)</f>
        <v>3000-srebrny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1500-j.brąz</v>
      </c>
      <c r="D387" s="49">
        <v>224149</v>
      </c>
      <c r="E387" s="48" t="str">
        <f>+VLOOKUP(A387,cennik!A:G,2,FALSE)</f>
        <v>SEVROLL tor górny Simple/Blue 1,5 m (do płyty laminowanej 10 mm) oliwka</v>
      </c>
      <c r="F387" s="48" t="str">
        <f>+VLOOKUP(A387,cennik!A:B,2,FALSE)</f>
        <v>SEVROLL tor górny Simple/Blue 1,5 m (do płyty laminowanej 10 mm) oliwka</v>
      </c>
      <c r="H387" s="1">
        <v>1500</v>
      </c>
      <c r="I387" s="1" t="str">
        <f>CONCATENATE(H387,"-",J6)</f>
        <v>1500-j.brąz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2000-j.brąz</v>
      </c>
      <c r="D388" s="49">
        <v>224150</v>
      </c>
      <c r="E388" s="48" t="str">
        <f>+VLOOKUP(A388,cennik!A:G,2,FALSE)</f>
        <v>SEVROLL tor górny Simple/Blue 2 m (do płyty laminowanej 10 mm) oliwka</v>
      </c>
      <c r="F388" s="48" t="str">
        <f>+VLOOKUP(A388,cennik!A:B,2,FALSE)</f>
        <v>SEVROLL tor górny Simple/Blue 2 m (do płyty laminowanej 10 mm) oliwka</v>
      </c>
      <c r="H388" s="1">
        <v>2000</v>
      </c>
      <c r="I388" s="1" t="str">
        <f>CONCATENATE(H388,"-",J6)</f>
        <v>2000-j.brąz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3000-j.brąz</v>
      </c>
      <c r="D389" s="49">
        <v>223563</v>
      </c>
      <c r="E389" s="48" t="str">
        <f>+VLOOKUP(A389,cennik!A:G,2,FALSE)</f>
        <v>SEVROLL listwa poz. górna Simple/Blue 3m (do płyty laminowanej 10mm) jasny brąz</v>
      </c>
      <c r="F389" s="48" t="str">
        <f>+VLOOKUP(A389,cennik!A:B,2,FALSE)</f>
        <v>SEVROLL listwa poz. górna Simple/Blue 3m (do płyty laminowanej 10mm) jasny brąz</v>
      </c>
      <c r="H389" s="1">
        <v>3000</v>
      </c>
      <c r="I389" s="1" t="str">
        <f>CONCATENATE(H389,"-",J6)</f>
        <v>3000-j.brąz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1500-srebrny</v>
      </c>
      <c r="D391" s="49">
        <v>224131</v>
      </c>
      <c r="E391" s="48" t="str">
        <f>+VLOOKUP(A391,cennik!A:G,2,FALSE)</f>
        <v>SEVROLL tor dolny Simple/Blue 1,5m (do płyty laminowanej 18mm) srebrny</v>
      </c>
      <c r="F391" s="48" t="str">
        <f>+VLOOKUP(A391,cennik!A:B,2,FALSE)</f>
        <v>SEVROLL tor dolny Simple/Blue 1,5m (do płyty laminowanej 18mm) srebrny</v>
      </c>
      <c r="H391" s="1">
        <v>1500</v>
      </c>
      <c r="I391" s="1" t="str">
        <f>CONCATENATE(H391,"-",J4)</f>
        <v>1500-srebrny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2000-srebrny</v>
      </c>
      <c r="D392" s="49">
        <v>224132</v>
      </c>
      <c r="E392" s="48" t="str">
        <f>+VLOOKUP(A392,cennik!A:G,2,FALSE)</f>
        <v>SEVROLL tor górny Simple/Blue 2m (do płyty laminowanej 18mm) srebrny</v>
      </c>
      <c r="F392" s="48" t="str">
        <f>+VLOOKUP(A392,cennik!A:B,2,FALSE)</f>
        <v>SEVROLL tor górny Simple/Blue 2m (do płyty laminowanej 18mm) srebrny</v>
      </c>
      <c r="H392" s="1">
        <v>2000</v>
      </c>
      <c r="I392" s="1" t="str">
        <f>CONCATENATE(H392,"-",J4)</f>
        <v>2000-srebrny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3000-srebrny</v>
      </c>
      <c r="D393" s="49">
        <v>222571</v>
      </c>
      <c r="E393" s="48" t="str">
        <f>+VLOOKUP(A393,cennik!A:G,2,FALSE)</f>
        <v>SEVROLL tor dolny Simple/Blue 3m (do płyty laminowanej 18mm) srebrny</v>
      </c>
      <c r="F393" s="48" t="str">
        <f>+VLOOKUP(A393,cennik!A:B,2,FALSE)</f>
        <v>SEVROLL tor dolny Simple/Blue 3m (do płyty laminowanej 18mm) srebrny</v>
      </c>
      <c r="H393" s="1">
        <v>3000</v>
      </c>
      <c r="I393" s="1" t="str">
        <f>CONCATENATE(H393,"-",J4)</f>
        <v>3000-srebrny</v>
      </c>
      <c r="Z393" s="1" t="b">
        <f t="shared" si="8"/>
        <v>1</v>
      </c>
    </row>
    <row r="394" spans="1:26" ht="15" customHeight="1" x14ac:dyDescent="0.3">
      <c r="A394" s="2">
        <v>488237</v>
      </c>
      <c r="B394" s="445"/>
      <c r="C394" s="1" t="str">
        <f>CONCATENATE(H394,"-",J17)</f>
        <v>1500- czarny mat</v>
      </c>
      <c r="D394" s="2">
        <v>488237</v>
      </c>
      <c r="E394" s="48" t="str">
        <f>+VLOOKUP(A394,cennik!A:G,2,FALSE)</f>
        <v>SEVROLL 05749 górna listwa prowadząca Simple/Blue 2m (do lam. 18mm) czarny mat</v>
      </c>
      <c r="F394" s="48" t="str">
        <f>+VLOOKUP(A394,cennik!A:B,2,FALSE)</f>
        <v>SEVROLL 05749 górna listwa prowadząca Simple/Blue 2m (do lam. 18mm) czarny mat</v>
      </c>
      <c r="H394" s="1">
        <v>1500</v>
      </c>
      <c r="I394" s="1" t="str">
        <f>CONCATENATE(H394,"-",J17)</f>
        <v>1500- czarny mat</v>
      </c>
      <c r="Z394" s="1" t="b">
        <f t="shared" si="8"/>
        <v>1</v>
      </c>
    </row>
    <row r="395" spans="1:26" ht="15" customHeight="1" x14ac:dyDescent="0.3">
      <c r="A395" s="2">
        <v>488237</v>
      </c>
      <c r="B395" s="445"/>
      <c r="C395" s="1" t="str">
        <f>CONCATENATE(H395,"-",J17)</f>
        <v>2000- czarny mat</v>
      </c>
      <c r="D395" s="2">
        <v>488237</v>
      </c>
      <c r="E395" s="48" t="str">
        <f>+VLOOKUP(A395,cennik!A:G,2,FALSE)</f>
        <v>SEVROLL 05749 górna listwa prowadząca Simple/Blue 2m (do lam. 18mm) czarny mat</v>
      </c>
      <c r="F395" s="48" t="str">
        <f>+VLOOKUP(A395,cennik!A:B,2,FALSE)</f>
        <v>SEVROLL 05749 górna listwa prowadząca Simple/Blue 2m (do lam. 18mm) czarny mat</v>
      </c>
      <c r="H395" s="1">
        <v>2000</v>
      </c>
      <c r="I395" s="1" t="str">
        <f>CONCATENATE(H395,"-",J17)</f>
        <v>2000- czarny mat</v>
      </c>
      <c r="Z395" s="1" t="b">
        <f t="shared" si="8"/>
        <v>1</v>
      </c>
    </row>
    <row r="396" spans="1:26" ht="15" customHeight="1" x14ac:dyDescent="0.3">
      <c r="A396" s="2">
        <v>488238</v>
      </c>
      <c r="B396" s="445"/>
      <c r="C396" s="1" t="str">
        <f>CONCATENATE(H396,"-",J17)</f>
        <v>3000- czarny mat</v>
      </c>
      <c r="D396" s="2">
        <v>488238</v>
      </c>
      <c r="E396" s="48" t="str">
        <f>+VLOOKUP(A396,cennik!A:G,2,FALSE)</f>
        <v>SEVROLL 05750 tor dolny Simple/Blue 3m (do płyty 18mm) czarny mat</v>
      </c>
      <c r="F396" s="48" t="str">
        <f>+VLOOKUP(A396,cennik!A:B,2,FALSE)</f>
        <v>SEVROLL 05750 tor dolny Simple/Blue 3m (do płyty 18mm) czarny mat</v>
      </c>
      <c r="H396" s="1">
        <v>3000</v>
      </c>
      <c r="I396" s="1" t="str">
        <f>CONCATENATE(H396,"-",J17)</f>
        <v>3000- czarny mat</v>
      </c>
      <c r="Z396" s="1" t="b">
        <f t="shared" si="8"/>
        <v>1</v>
      </c>
    </row>
    <row r="397" spans="1:26" ht="15" customHeight="1" x14ac:dyDescent="0.3">
      <c r="A397" s="434">
        <v>394267</v>
      </c>
      <c r="B397" s="434"/>
      <c r="C397" s="434" t="str">
        <f>CONCATENATE(H397,"-",J15)</f>
        <v>1500- biały połysk</v>
      </c>
      <c r="D397" s="434">
        <v>394267</v>
      </c>
      <c r="E397" s="432" t="str">
        <f>+VLOOKUP(A397,cennik!A:G,2,FALSE)</f>
        <v>SEVROLL górna listwa prowadząca Simple/Blue 2m (do lam. 18mm)biały błyszczący</v>
      </c>
      <c r="F397" s="432" t="str">
        <f>+VLOOKUP(A397,cennik!A:B,2,FALSE)</f>
        <v>SEVROLL górna listwa prowadząca Simple/Blue 2m (do lam. 18mm)biały błyszczący</v>
      </c>
      <c r="G397" s="434"/>
      <c r="H397" s="434">
        <v>1500</v>
      </c>
      <c r="I397" s="434" t="str">
        <f>CONCATENATE(H397,"-",J15)</f>
        <v>1500- biały połysk</v>
      </c>
      <c r="Z397" s="1" t="b">
        <f t="shared" si="8"/>
        <v>1</v>
      </c>
    </row>
    <row r="398" spans="1:26" ht="15" customHeight="1" x14ac:dyDescent="0.3">
      <c r="A398" s="434">
        <v>394267</v>
      </c>
      <c r="B398" s="434"/>
      <c r="C398" s="434" t="str">
        <f>CONCATENATE(H398,"-",J15)</f>
        <v>2000- biały połysk</v>
      </c>
      <c r="D398" s="434">
        <v>394267</v>
      </c>
      <c r="E398" s="432" t="str">
        <f>+VLOOKUP(A398,cennik!A:G,2,FALSE)</f>
        <v>SEVROLL górna listwa prowadząca Simple/Blue 2m (do lam. 18mm)biały błyszczący</v>
      </c>
      <c r="F398" s="432" t="str">
        <f>+VLOOKUP(A398,cennik!A:B,2,FALSE)</f>
        <v>SEVROLL górna listwa prowadząca Simple/Blue 2m (do lam. 18mm)biały błyszczący</v>
      </c>
      <c r="G398" s="434"/>
      <c r="H398" s="434">
        <v>2000</v>
      </c>
      <c r="I398" s="434" t="str">
        <f>CONCATENATE(H398,"-",J15)</f>
        <v>2000- biały połysk</v>
      </c>
      <c r="Z398" s="1" t="b">
        <f t="shared" si="8"/>
        <v>1</v>
      </c>
    </row>
    <row r="399" spans="1:26" ht="15" customHeight="1" x14ac:dyDescent="0.3">
      <c r="A399" s="434">
        <v>394270</v>
      </c>
      <c r="B399" s="434"/>
      <c r="C399" s="434" t="str">
        <f>CONCATENATE(H399,"-",J15)</f>
        <v>3000- biały połysk</v>
      </c>
      <c r="D399" s="434">
        <v>394270</v>
      </c>
      <c r="E399" s="432" t="str">
        <f>+VLOOKUP(A399,cennik!A:G,2,FALSE)</f>
        <v>SEVROLL tor dolny Simple/Blue 3m (do płyty laminowanej 18mm) srebrny</v>
      </c>
      <c r="F399" s="432" t="str">
        <f>+VLOOKUP(A399,cennik!A:B,2,FALSE)</f>
        <v>SEVROLL tor dolny Simple/Blue 3m (do płyty laminowanej 18mm) srebrny</v>
      </c>
      <c r="G399" s="434"/>
      <c r="H399" s="434">
        <v>3000</v>
      </c>
      <c r="I399" s="434" t="str">
        <f>CONCATENATE(H399,"-",J15)</f>
        <v>3000- biały połysk</v>
      </c>
      <c r="Z399" s="1" t="b">
        <f t="shared" si="8"/>
        <v>1</v>
      </c>
    </row>
    <row r="400" spans="1:26" ht="15" customHeight="1" x14ac:dyDescent="0.3">
      <c r="A400" s="49">
        <v>224135</v>
      </c>
      <c r="B400" s="163"/>
      <c r="C400" s="1" t="str">
        <f>CONCATENATE(H400,"-",J6)</f>
        <v>1500-j.brąz</v>
      </c>
      <c r="D400" s="49">
        <v>224135</v>
      </c>
      <c r="E400" s="48" t="str">
        <f>+VLOOKUP(A400,cennik!A:G,2,FALSE)</f>
        <v>SEVROLL listwa poz. górna Simple/Blue 2m (do płyty laminowanej 18mm) jasny brąz</v>
      </c>
      <c r="F400" s="48" t="str">
        <f>+VLOOKUP(A400,cennik!A:B,2,FALSE)</f>
        <v>SEVROLL listwa poz. górna Simple/Blue 2m (do płyty laminowanej 18mm) jasny brąz</v>
      </c>
      <c r="H400" s="1">
        <v>1500</v>
      </c>
      <c r="I400" s="1" t="str">
        <f>CONCATENATE(H400,"-",J6)</f>
        <v>1500-j.brąz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2000-j.brąz</v>
      </c>
      <c r="D401" s="49">
        <v>224135</v>
      </c>
      <c r="E401" s="48" t="str">
        <f>+VLOOKUP(A401,cennik!A:G,2,FALSE)</f>
        <v>SEVROLL listwa poz. górna Simple/Blue 2m (do płyty laminowanej 18mm) jasny brąz</v>
      </c>
      <c r="F401" s="48" t="str">
        <f>+VLOOKUP(A401,cennik!A:B,2,FALSE)</f>
        <v>SEVROLL listwa poz. górna Simple/Blue 2m (do płyty laminowanej 18mm) jasny brąz</v>
      </c>
      <c r="H401" s="1">
        <v>2000</v>
      </c>
      <c r="I401" s="1" t="str">
        <f>CONCATENATE(H401,"-",J6)</f>
        <v>2000-j.brąz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3000-j.brąz</v>
      </c>
      <c r="D402" s="49">
        <v>223561</v>
      </c>
      <c r="E402" s="48" t="str">
        <f>+VLOOKUP(A402,cennik!A:G,2,FALSE)</f>
        <v>SEVROLL listwa poz. górna Simple/Blue 3m (do płyty laminowanej 18mm) jasny brąz</v>
      </c>
      <c r="F402" s="48" t="str">
        <f>+VLOOKUP(A402,cennik!A:B,2,FALSE)</f>
        <v>SEVROLL listwa poz. górna Simple/Blue 3m (do płyty laminowanej 18mm) jasny brąz</v>
      </c>
      <c r="H402" s="1">
        <v>3000</v>
      </c>
      <c r="I402" s="1" t="str">
        <f>CONCATENATE(H402,"-",J6)</f>
        <v>3000-j.brąz</v>
      </c>
      <c r="Z402" s="1" t="b">
        <f t="shared" si="8"/>
        <v>1</v>
      </c>
    </row>
    <row r="403" spans="1:26" s="417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3">
      <c r="A406" s="421">
        <v>89228</v>
      </c>
      <c r="B406" s="419"/>
      <c r="C406" s="417" t="str">
        <f>CONCATENATE(H406,"-",J4)</f>
        <v>1700-srebrny</v>
      </c>
      <c r="D406" s="421">
        <v>89228</v>
      </c>
      <c r="E406" s="419" t="str">
        <f>+VLOOKUP(A406,cennik!A:G,2,FALSE)</f>
        <v>SEVROLL maskownica dolna 1,7m 10mm srebrny</v>
      </c>
      <c r="F406" s="419" t="str">
        <f>+VLOOKUP(A406,cennik!A:B,2,FALSE)</f>
        <v>SEVROLL maskownica dolna 1,7m 10mm srebrny</v>
      </c>
      <c r="G406" s="417" t="e">
        <f>+VLOOKUP(A406,#REF!,4,FALSE)</f>
        <v>#REF!</v>
      </c>
      <c r="H406" s="417" t="s">
        <v>464</v>
      </c>
      <c r="I406" s="417" t="str">
        <f>CONCATENATE(H406,"-",J4)</f>
        <v>1700-srebrny</v>
      </c>
      <c r="Z406" s="1" t="b">
        <f t="shared" si="8"/>
        <v>1</v>
      </c>
    </row>
    <row r="407" spans="1:26" s="417" customFormat="1" ht="15" customHeight="1" x14ac:dyDescent="0.3">
      <c r="A407" s="421">
        <v>89229</v>
      </c>
      <c r="B407" s="419"/>
      <c r="C407" s="417" t="str">
        <f>CONCATENATE(H407,"-",J6)</f>
        <v>1700-j.brąz</v>
      </c>
      <c r="D407" s="421">
        <v>89229</v>
      </c>
      <c r="E407" s="419" t="str">
        <f>+VLOOKUP(A407,cennik!A:G,2,FALSE)</f>
        <v>SEVROLL maskownica dolna 1,7m 10mm jasny brąz</v>
      </c>
      <c r="F407" s="419" t="str">
        <f>+VLOOKUP(A407,cennik!A:B,2,FALSE)</f>
        <v>SEVROLL maskownica dolna 1,7m 10mm jasny brąz</v>
      </c>
      <c r="G407" s="417" t="e">
        <f>+VLOOKUP(A407,#REF!,4,FALSE)</f>
        <v>#REF!</v>
      </c>
      <c r="H407" s="417" t="s">
        <v>464</v>
      </c>
      <c r="I407" s="417" t="str">
        <f>CONCATENATE(H407,"-",J6)</f>
        <v>1700-j.brąz</v>
      </c>
      <c r="Z407" s="1" t="b">
        <f t="shared" si="8"/>
        <v>1</v>
      </c>
    </row>
    <row r="408" spans="1:26" s="417" customFormat="1" ht="15" customHeight="1" x14ac:dyDescent="0.3">
      <c r="A408" s="421">
        <v>542867</v>
      </c>
      <c r="B408" s="419"/>
      <c r="C408" s="417" t="str">
        <f>CONCATENATE(H408,"-",J5)</f>
        <v>1700-złoty/mosiądz</v>
      </c>
      <c r="D408" s="421">
        <v>542867</v>
      </c>
      <c r="E408" s="419" t="str">
        <f>+VLOOKUP(A408,cennik!A:G,2,FALSE)</f>
        <v>SEVROLL 06810 Gemini 10 listwa pozioma dolna 1,7m 10mm złoty/mosiądz</v>
      </c>
      <c r="F408" s="419" t="str">
        <f>+VLOOKUP(A408,cennik!A:B,2,FALSE)</f>
        <v>SEVROLL 06810 Gemini 10 listwa pozioma dolna 1,7m 10mm złoty/mosiądz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1700-złoty/mosiądz</v>
      </c>
      <c r="Z408" s="1" t="b">
        <f t="shared" si="8"/>
        <v>1</v>
      </c>
    </row>
    <row r="409" spans="1:26" s="417" customFormat="1" ht="15" customHeight="1" x14ac:dyDescent="0.3">
      <c r="A409" s="421">
        <v>89226</v>
      </c>
      <c r="B409" s="419"/>
      <c r="C409" s="417" t="str">
        <f>CONCATENATE(H409,"-",J4)</f>
        <v>2350-srebrny</v>
      </c>
      <c r="D409" s="421">
        <v>89226</v>
      </c>
      <c r="E409" s="419" t="str">
        <f>+VLOOKUP(A409,cennik!A:G,2,FALSE)</f>
        <v>SEVROLL listwa maskownica dolna 2,35m 10mm srebrny</v>
      </c>
      <c r="F409" s="419" t="str">
        <f>+VLOOKUP(A409,cennik!A:B,2,FALSE)</f>
        <v>SEVROLL listwa maskownica dolna 2,35m 10mm srebrny</v>
      </c>
      <c r="G409" s="417" t="e">
        <f>+VLOOKUP(A409,#REF!,4,FALSE)</f>
        <v>#REF!</v>
      </c>
      <c r="H409" s="417" t="s">
        <v>465</v>
      </c>
      <c r="I409" s="417" t="str">
        <f>CONCATENATE(H409,"-",J4)</f>
        <v>2350-srebrny</v>
      </c>
      <c r="Z409" s="1" t="b">
        <f t="shared" si="8"/>
        <v>1</v>
      </c>
    </row>
    <row r="410" spans="1:26" s="417" customFormat="1" ht="15" customHeight="1" x14ac:dyDescent="0.3">
      <c r="A410" s="421">
        <v>89227</v>
      </c>
      <c r="B410" s="419"/>
      <c r="C410" s="417" t="str">
        <f>CONCATENATE(H410,"-",J6)</f>
        <v>2350-j.brąz</v>
      </c>
      <c r="D410" s="421">
        <v>89227</v>
      </c>
      <c r="E410" s="419" t="str">
        <f>+VLOOKUP(A410,cennik!A:G,2,FALSE)</f>
        <v>SEVROLL maskownica dolna 2,35m 10mm jasny brąz</v>
      </c>
      <c r="F410" s="419" t="str">
        <f>+VLOOKUP(A410,cennik!A:B,2,FALSE)</f>
        <v>SEVROLL maskownica dolna 2,35m 10mm jasny brąz</v>
      </c>
      <c r="G410" s="417" t="e">
        <f>+VLOOKUP(A410,#REF!,4,FALSE)</f>
        <v>#REF!</v>
      </c>
      <c r="H410" s="417" t="s">
        <v>465</v>
      </c>
      <c r="I410" s="417" t="str">
        <f>CONCATENATE(H410,"-",J6)</f>
        <v>2350-j.brąz</v>
      </c>
      <c r="Z410" s="1" t="b">
        <f t="shared" si="8"/>
        <v>1</v>
      </c>
    </row>
    <row r="411" spans="1:26" s="417" customFormat="1" ht="15" customHeight="1" x14ac:dyDescent="0.3">
      <c r="A411" s="421">
        <v>542868</v>
      </c>
      <c r="B411" s="419"/>
      <c r="C411" s="417" t="str">
        <f>CONCATENATE(H411,"-",J5)</f>
        <v>2350-złoty/mosiądz</v>
      </c>
      <c r="D411" s="421">
        <v>542868</v>
      </c>
      <c r="E411" s="419" t="str">
        <f>+VLOOKUP(A411,cennik!A:G,2,FALSE)</f>
        <v>SEVROLL 06811 Gemini 10 listwa pozioma dolna 2,35m 10mm złoty/mosiądz</v>
      </c>
      <c r="F411" s="419" t="str">
        <f>+VLOOKUP(A411,cennik!A:B,2,FALSE)</f>
        <v>SEVROLL 06811 Gemini 10 listwa pozioma dolna 2,35m 10mm złoty/mosiądz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2350-złoty/mosiądz</v>
      </c>
      <c r="Z411" s="1" t="b">
        <f t="shared" si="8"/>
        <v>1</v>
      </c>
    </row>
    <row r="412" spans="1:26" s="417" customFormat="1" ht="15" customHeight="1" x14ac:dyDescent="0.3">
      <c r="A412" s="421">
        <v>89224</v>
      </c>
      <c r="B412" s="419"/>
      <c r="C412" s="417" t="str">
        <f>CONCATENATE(H412,"-",J4)</f>
        <v>3000-srebrny</v>
      </c>
      <c r="D412" s="421">
        <v>89224</v>
      </c>
      <c r="E412" s="419" t="str">
        <f>+VLOOKUP(A412,cennik!A:G,2,FALSE)</f>
        <v>SEVROLL Gemini tor dolny 3m 10mm srebrny</v>
      </c>
      <c r="F412" s="419" t="str">
        <f>+VLOOKUP(A412,cennik!A:B,2,FALSE)</f>
        <v>SEVROLL Gemini tor dolny 3m 10mm srebrny</v>
      </c>
      <c r="G412" s="417" t="e">
        <f>+VLOOKUP(A412,#REF!,4,FALSE)</f>
        <v>#REF!</v>
      </c>
      <c r="H412" s="417" t="s">
        <v>466</v>
      </c>
      <c r="I412" s="417" t="str">
        <f>CONCATENATE(H412,"-",J4)</f>
        <v>3000-srebrny</v>
      </c>
      <c r="Z412" s="1" t="b">
        <f t="shared" si="8"/>
        <v>1</v>
      </c>
    </row>
    <row r="413" spans="1:26" s="417" customFormat="1" ht="15" customHeight="1" x14ac:dyDescent="0.3">
      <c r="A413" s="421">
        <v>89225</v>
      </c>
      <c r="B413" s="419"/>
      <c r="C413" s="417" t="str">
        <f>CONCATENATE(H413,"-",J6)</f>
        <v>3000-j.brąz</v>
      </c>
      <c r="D413" s="421">
        <v>89225</v>
      </c>
      <c r="E413" s="419" t="str">
        <f>+VLOOKUP(A413,cennik!A:G,2,FALSE)</f>
        <v>SEVROLL maskownica dolna 3m 10mm jasny brąz</v>
      </c>
      <c r="F413" s="419" t="str">
        <f>+VLOOKUP(A413,cennik!A:B,2,FALSE)</f>
        <v>SEVROLL maskownica dolna 3m 10mm jasny brąz</v>
      </c>
      <c r="G413" s="417" t="e">
        <f>+VLOOKUP(A413,#REF!,4,FALSE)</f>
        <v>#REF!</v>
      </c>
      <c r="H413" s="417" t="s">
        <v>466</v>
      </c>
      <c r="I413" s="417" t="str">
        <f>CONCATENATE(H413,"-",J6)</f>
        <v>3000-j.brąz</v>
      </c>
      <c r="Z413" s="1" t="b">
        <f t="shared" si="8"/>
        <v>1</v>
      </c>
    </row>
    <row r="414" spans="1:26" s="417" customFormat="1" ht="15" customHeight="1" x14ac:dyDescent="0.3">
      <c r="A414" s="421">
        <v>542869</v>
      </c>
      <c r="B414" s="419"/>
      <c r="C414" s="417" t="str">
        <f>CONCATENATE(H414,"-",J5)</f>
        <v>3000-złoty/mosiądz</v>
      </c>
      <c r="D414" s="421">
        <v>542869</v>
      </c>
      <c r="E414" s="419" t="str">
        <f>+VLOOKUP(A414,cennik!A:G,2,FALSE)</f>
        <v>SEVROLL 06812 Gemini 10 listwa pozioma dolna 3m 10mm złoty/mosiądz</v>
      </c>
      <c r="F414" s="419" t="str">
        <f>+VLOOKUP(A414,cennik!A:B,2,FALSE)</f>
        <v>SEVROLL 06812 Gemini 10 listwa pozioma dolna 3m 10mm złoty/mosiądz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3000-złoty/mosiądz</v>
      </c>
      <c r="Z414" s="1" t="b">
        <f t="shared" si="8"/>
        <v>1</v>
      </c>
    </row>
    <row r="415" spans="1:26" s="417" customFormat="1" ht="15" customHeight="1" x14ac:dyDescent="0.3">
      <c r="A415" s="421">
        <v>422027</v>
      </c>
      <c r="B415" s="419"/>
      <c r="C415" s="417" t="str">
        <f>CONCATENATE(H415,"-",J17)</f>
        <v>1700- czarny mat</v>
      </c>
      <c r="D415" s="421">
        <v>422027</v>
      </c>
      <c r="E415" s="419" t="str">
        <f>+VLOOKUP(A415,cennik!A:G,2,FALSE)</f>
        <v>SEVROLL listwa pozioma dolna 1,7m 10mm czarny mat</v>
      </c>
      <c r="F415" s="419" t="str">
        <f>+VLOOKUP(A415,cennik!A:B,2,FALSE)</f>
        <v>SEVROLL listwa pozioma dolna 1,7m 10mm czarny mat</v>
      </c>
      <c r="H415" s="417">
        <v>1700</v>
      </c>
      <c r="I415" s="417" t="str">
        <f>CONCATENATE(H415,"-",J17)</f>
        <v>1700- czarny mat</v>
      </c>
      <c r="Z415" s="1" t="b">
        <f t="shared" si="8"/>
        <v>1</v>
      </c>
    </row>
    <row r="416" spans="1:26" s="417" customFormat="1" ht="15" customHeight="1" x14ac:dyDescent="0.3">
      <c r="A416" s="421">
        <v>422029</v>
      </c>
      <c r="B416" s="419"/>
      <c r="C416" s="417" t="str">
        <f>CONCATENATE(H416,"-",J17)</f>
        <v>2350- czarny mat</v>
      </c>
      <c r="D416" s="421">
        <v>422029</v>
      </c>
      <c r="E416" s="419" t="str">
        <f>+VLOOKUP(A416,cennik!A:G,2,FALSE)</f>
        <v>SEVROLL listwa pozioma dolna 2,35m 10mm czarny mat</v>
      </c>
      <c r="F416" s="419" t="str">
        <f>+VLOOKUP(A416,cennik!A:B,2,FALSE)</f>
        <v>SEVROLL listwa pozioma dolna 2,35m 10mm czarny mat</v>
      </c>
      <c r="H416" s="417">
        <v>2350</v>
      </c>
      <c r="I416" s="417" t="str">
        <f>CONCATENATE(H416,"-",J17)</f>
        <v>2350- czarny mat</v>
      </c>
      <c r="Z416" s="1" t="b">
        <f t="shared" si="8"/>
        <v>1</v>
      </c>
    </row>
    <row r="417" spans="1:26" s="417" customFormat="1" ht="15" customHeight="1" x14ac:dyDescent="0.3">
      <c r="A417" s="421">
        <v>422030</v>
      </c>
      <c r="B417" s="419"/>
      <c r="C417" s="417" t="str">
        <f>CONCATENATE(H417,"-",J17)</f>
        <v>3000- czarny mat</v>
      </c>
      <c r="D417" s="421">
        <v>422030</v>
      </c>
      <c r="E417" s="419" t="str">
        <f>+VLOOKUP(A417,cennik!A:G,2,FALSE)</f>
        <v>SEVROLL listaw pozioma dolna 3m 10mm czarny mat</v>
      </c>
      <c r="F417" s="419" t="str">
        <f>+VLOOKUP(A417,cennik!A:B,2,FALSE)</f>
        <v>SEVROLL listaw pozioma dolna 3m 10mm czarny mat</v>
      </c>
      <c r="H417" s="417">
        <v>3000</v>
      </c>
      <c r="I417" s="417" t="str">
        <f>CONCATENATE(H417,"-",J17)</f>
        <v>3000- czarny mat</v>
      </c>
      <c r="Z417" s="1" t="b">
        <f t="shared" si="8"/>
        <v>1</v>
      </c>
    </row>
    <row r="418" spans="1:26" s="417" customFormat="1" ht="15" customHeight="1" x14ac:dyDescent="0.3">
      <c r="A418" s="421">
        <v>119417</v>
      </c>
      <c r="B418" s="419"/>
      <c r="C418" s="417" t="str">
        <f>CONCATENATE(H418,"-",J7)</f>
        <v>1700-j.brąz szczotkowany</v>
      </c>
      <c r="D418" s="421">
        <v>119417</v>
      </c>
      <c r="E418" s="419" t="str">
        <f>+VLOOKUP(A418,cennik!A:G,2,FALSE)</f>
        <v>SEVROLL 02490-Y dolna listwa maskująca 1,7 m 10 mm, jasny brąz szczotkowany</v>
      </c>
      <c r="F418" s="419" t="str">
        <f>+VLOOKUP(A418,cennik!A:B,2,FALSE)</f>
        <v>SEVROLL 02490-Y dolna listwa maskująca 1,7 m 10 mm, jasny brąz szczotkowany</v>
      </c>
      <c r="G418" s="417" t="e">
        <f>+VLOOKUP(A418,#REF!,4,FALSE)</f>
        <v>#REF!</v>
      </c>
      <c r="H418" s="417" t="s">
        <v>464</v>
      </c>
      <c r="I418" s="417" t="str">
        <f>CONCATENATE(H418,"-",J7)</f>
        <v>1700-j.brąz szczotkowany</v>
      </c>
      <c r="Z418" s="1" t="b">
        <f t="shared" si="8"/>
        <v>1</v>
      </c>
    </row>
    <row r="419" spans="1:26" s="417" customFormat="1" ht="15" customHeight="1" x14ac:dyDescent="0.3">
      <c r="A419" s="421">
        <v>119421</v>
      </c>
      <c r="B419" s="419"/>
      <c r="C419" s="417" t="str">
        <f>CONCATENATE(H419,"-",J7)</f>
        <v>2350-j.brąz szczotkowany</v>
      </c>
      <c r="D419" s="421">
        <v>119421</v>
      </c>
      <c r="E419" s="419" t="str">
        <f>+VLOOKUP(A419,cennik!A:G,2,FALSE)</f>
        <v>SEVROLL 02491-Y dolna listwa maskująca 2,35 m 10 mm, jasny brąz szczotkowany</v>
      </c>
      <c r="F419" s="419" t="str">
        <f>+VLOOKUP(A419,cennik!A:B,2,FALSE)</f>
        <v>SEVROLL 02491-Y dolna listwa maskująca 2,35 m 10 mm, jasny brąz szczotkowany</v>
      </c>
      <c r="G419" s="417" t="e">
        <f>+VLOOKUP(A419,#REF!,4,FALSE)</f>
        <v>#REF!</v>
      </c>
      <c r="H419" s="417" t="s">
        <v>465</v>
      </c>
      <c r="I419" s="417" t="str">
        <f>CONCATENATE(H419,"-",J7)</f>
        <v>2350-j.brąz szczotkowany</v>
      </c>
      <c r="Z419" s="1" t="b">
        <f t="shared" si="8"/>
        <v>1</v>
      </c>
    </row>
    <row r="420" spans="1:26" s="417" customFormat="1" ht="15" customHeight="1" x14ac:dyDescent="0.3">
      <c r="A420" s="421">
        <v>119422</v>
      </c>
      <c r="B420" s="419"/>
      <c r="C420" s="417" t="str">
        <f>CONCATENATE(H420,"-",J7)</f>
        <v>3000-j.brąz szczotkowany</v>
      </c>
      <c r="D420" s="421">
        <v>119422</v>
      </c>
      <c r="E420" s="419" t="str">
        <f>+VLOOKUP(A420,cennik!A:G,2,FALSE)</f>
        <v>SEVROLL 02492-Y dolna listwa maskująca 3 m 10 mm, jasny brąz szczotkowany</v>
      </c>
      <c r="F420" s="419" t="str">
        <f>+VLOOKUP(A420,cennik!A:B,2,FALSE)</f>
        <v>SEVROLL 02492-Y dolna listwa maskująca 3 m 10 mm, jasny brąz szczotkowany</v>
      </c>
      <c r="G420" s="417" t="e">
        <f>+VLOOKUP(A420,#REF!,4,FALSE)</f>
        <v>#REF!</v>
      </c>
      <c r="H420" s="417" t="s">
        <v>466</v>
      </c>
      <c r="I420" s="417" t="str">
        <f>CONCATENATE(H420,"-",J7)</f>
        <v>3000-j.brąz szczotkowany</v>
      </c>
      <c r="Z420" s="1" t="b">
        <f t="shared" si="8"/>
        <v>1</v>
      </c>
    </row>
    <row r="421" spans="1:26" s="417" customFormat="1" ht="15" customHeight="1" x14ac:dyDescent="0.3">
      <c r="A421" s="196">
        <v>526476</v>
      </c>
      <c r="B421" s="419"/>
      <c r="C421" s="417" t="str">
        <f>CONCATENATE(H421,"-",J22)</f>
        <v>1700-czarny lakier strukturalny</v>
      </c>
      <c r="D421" s="196">
        <v>526476</v>
      </c>
      <c r="E421" s="419" t="str">
        <f>+VLOOKUP(A421,cennik!A:G,2,FALSE)</f>
        <v>SEVROLL 06439 listwa pozioma dolna 1,7m 10mm czarny lakier strukturalny</v>
      </c>
      <c r="F421" s="419" t="str">
        <f>+VLOOKUP(A421,cennik!A:B,2,FALSE)</f>
        <v>SEVROLL 06439 listwa pozioma dolna 1,7m 10mm czarny lakier strukturalny</v>
      </c>
      <c r="H421" s="417" t="s">
        <v>464</v>
      </c>
      <c r="I421" s="417" t="str">
        <f>CONCATENATE(H421,"-",J22)</f>
        <v>1700-czarny lakier strukturalny</v>
      </c>
      <c r="Z421" s="1"/>
    </row>
    <row r="422" spans="1:26" s="417" customFormat="1" ht="15" customHeight="1" x14ac:dyDescent="0.3">
      <c r="A422" s="196">
        <v>526477</v>
      </c>
      <c r="B422" s="419"/>
      <c r="C422" s="417" t="str">
        <f>CONCATENATE(H422,"-",J22)</f>
        <v>2350-czarny lakier strukturalny</v>
      </c>
      <c r="D422" s="196">
        <v>526477</v>
      </c>
      <c r="E422" s="419" t="str">
        <f>+VLOOKUP(A422,cennik!A:G,2,FALSE)</f>
        <v>SEVROLL 06440 listwa pozioma dolna 2,35m 10mm czarny lakier strukturalny</v>
      </c>
      <c r="F422" s="419" t="str">
        <f>+VLOOKUP(A422,cennik!A:B,2,FALSE)</f>
        <v>SEVROLL 06440 listwa pozioma dolna 2,35m 10mm czarny lakier strukturalny</v>
      </c>
      <c r="H422" s="417" t="s">
        <v>465</v>
      </c>
      <c r="I422" s="417" t="str">
        <f>CONCATENATE(H422,"-",J22)</f>
        <v>2350-czarny lakier strukturalny</v>
      </c>
      <c r="Z422" s="1"/>
    </row>
    <row r="423" spans="1:26" s="417" customFormat="1" ht="15" customHeight="1" x14ac:dyDescent="0.3">
      <c r="A423" s="196">
        <v>526478</v>
      </c>
      <c r="B423" s="419"/>
      <c r="C423" s="417" t="str">
        <f>CONCATENATE(H423,"-",J22)</f>
        <v>3000-czarny lakier strukturalny</v>
      </c>
      <c r="D423" s="196">
        <v>526478</v>
      </c>
      <c r="E423" s="419" t="str">
        <f>+VLOOKUP(A423,cennik!A:G,2,FALSE)</f>
        <v>SEVROLL 06123 listaw pozioma dolna 3m 10mm czarny lakier strukturalny</v>
      </c>
      <c r="F423" s="419" t="str">
        <f>+VLOOKUP(A423,cennik!A:B,2,FALSE)</f>
        <v>SEVROLL 06123 listaw pozioma dolna 3m 10mm czarny lakier strukturalny</v>
      </c>
      <c r="H423" s="417" t="s">
        <v>466</v>
      </c>
      <c r="I423" s="417" t="str">
        <f>CONCATENATE(H423,"-",J22)</f>
        <v>3000-czarny lakier strukturalny</v>
      </c>
      <c r="Z423" s="1"/>
    </row>
    <row r="424" spans="1:26" s="417" customFormat="1" ht="15" customHeight="1" x14ac:dyDescent="0.3">
      <c r="A424" s="421">
        <v>205170</v>
      </c>
      <c r="B424" s="419"/>
      <c r="C424" s="417" t="str">
        <f>CONCATENATE(H424,"-",J8)</f>
        <v>1700-szczot.oliwa ciemna</v>
      </c>
      <c r="D424" s="421">
        <v>205170</v>
      </c>
      <c r="E424" s="419" t="str">
        <f>+VLOOKUP(A424,cennik!A:G,2,FALSE)</f>
        <v>SEVROLL listwa pozioma dolna 1,7 m 10mm oliwka ciemna szczotkowana</v>
      </c>
      <c r="F424" s="419" t="str">
        <f>+VLOOKUP(A424,cennik!A:B,2,FALSE)</f>
        <v>SEVROLL listwa pozioma dolna 1,7 m 10mm oliwka ciemna szczotkowana</v>
      </c>
      <c r="G424" s="417" t="e">
        <f>+VLOOKUP(A424,#REF!,4,FALSE)</f>
        <v>#REF!</v>
      </c>
      <c r="H424" s="417" t="s">
        <v>464</v>
      </c>
      <c r="I424" s="417" t="str">
        <f>CONCATENATE(H424,"-",J8)</f>
        <v>1700-szczot.oliwa ciemna</v>
      </c>
      <c r="Z424" s="1" t="b">
        <f t="shared" si="8"/>
        <v>1</v>
      </c>
    </row>
    <row r="425" spans="1:26" s="417" customFormat="1" ht="15" customHeight="1" x14ac:dyDescent="0.3">
      <c r="A425" s="421">
        <v>205172</v>
      </c>
      <c r="B425" s="419"/>
      <c r="C425" s="417" t="str">
        <f>CONCATENATE(H425,"-",J8)</f>
        <v>2350-szczot.oliwa ciemna</v>
      </c>
      <c r="D425" s="421">
        <v>205172</v>
      </c>
      <c r="E425" s="419" t="str">
        <f>+VLOOKUP(A425,cennik!A:G,2,FALSE)</f>
        <v>SEVROLL listwa pozioma dolna 2,35 m oliwka ciemna szczotkowana</v>
      </c>
      <c r="F425" s="419" t="str">
        <f>+VLOOKUP(A425,cennik!A:B,2,FALSE)</f>
        <v>SEVROLL listwa pozioma dolna 2,35 m oliwka ciemna szczotkowana</v>
      </c>
      <c r="G425" s="417" t="e">
        <f>+VLOOKUP(A425,#REF!,4,FALSE)</f>
        <v>#REF!</v>
      </c>
      <c r="H425" s="417" t="s">
        <v>465</v>
      </c>
      <c r="I425" s="417" t="str">
        <f>CONCATENATE(H425,"-",J8)</f>
        <v>2350-szczot.oliwa ciemna</v>
      </c>
      <c r="Z425" s="1" t="b">
        <f t="shared" si="8"/>
        <v>1</v>
      </c>
    </row>
    <row r="426" spans="1:26" s="417" customFormat="1" ht="15" customHeight="1" x14ac:dyDescent="0.3">
      <c r="A426" s="421">
        <v>205174</v>
      </c>
      <c r="B426" s="419"/>
      <c r="C426" s="417" t="str">
        <f>CONCATENATE(H426,"-",J8)</f>
        <v>3000-szczot.oliwa ciemna</v>
      </c>
      <c r="D426" s="421">
        <v>205174</v>
      </c>
      <c r="E426" s="419" t="str">
        <f>+VLOOKUP(A426,cennik!A:G,2,FALSE)</f>
        <v>SEVROLL listwa pozioma dolna 3 m 10mm oliwka ciemna szczotkowana</v>
      </c>
      <c r="F426" s="419" t="str">
        <f>+VLOOKUP(A426,cennik!A:B,2,FALSE)</f>
        <v>SEVROLL listwa pozioma dolna 3 m 10mm oliwka ciemna szczotkowana</v>
      </c>
      <c r="G426" s="417" t="e">
        <f>+VLOOKUP(A426,#REF!,4,FALSE)</f>
        <v>#REF!</v>
      </c>
      <c r="H426" s="417" t="s">
        <v>466</v>
      </c>
      <c r="I426" s="417" t="str">
        <f>CONCATENATE(H426,"-",J8)</f>
        <v>3000-szczot.oliwa ciemna</v>
      </c>
      <c r="Z426" s="1" t="b">
        <f t="shared" si="8"/>
        <v>1</v>
      </c>
    </row>
    <row r="427" spans="1:26" s="417" customFormat="1" ht="15" customHeight="1" x14ac:dyDescent="0.3">
      <c r="A427" s="421">
        <v>205171</v>
      </c>
      <c r="B427" s="419"/>
      <c r="C427" s="417" t="str">
        <f>CONCATENATE(H427,"-",J9)</f>
        <v>1700-szczot.czarna</v>
      </c>
      <c r="D427" s="421">
        <v>205171</v>
      </c>
      <c r="E427" s="419" t="str">
        <f>+VLOOKUP(A427,cennik!A:G,2,FALSE)</f>
        <v>SEVROLL listwa pozioma dolna 1,7 m 10 mm czarna szczotkowana</v>
      </c>
      <c r="F427" s="419" t="str">
        <f>+VLOOKUP(A427,cennik!A:B,2,FALSE)</f>
        <v>SEVROLL listwa pozioma dolna 1,7 m 10 mm czarna szczotkowana</v>
      </c>
      <c r="H427" s="417" t="s">
        <v>464</v>
      </c>
      <c r="I427" s="417" t="str">
        <f>CONCATENATE(H427,"-",J9)</f>
        <v>1700-szczot.czarna</v>
      </c>
      <c r="Z427" s="1" t="b">
        <f t="shared" si="8"/>
        <v>1</v>
      </c>
    </row>
    <row r="428" spans="1:26" s="417" customFormat="1" ht="15" customHeight="1" x14ac:dyDescent="0.3">
      <c r="A428" s="421">
        <v>205173</v>
      </c>
      <c r="B428" s="419"/>
      <c r="C428" s="417" t="str">
        <f>CONCATENATE(H428,"-",J9)</f>
        <v>2350-szczot.czarna</v>
      </c>
      <c r="D428" s="421">
        <v>205173</v>
      </c>
      <c r="E428" s="419" t="str">
        <f>+VLOOKUP(A428,cennik!A:G,2,FALSE)</f>
        <v>SEVROLL listwa pozioma dolna 2,35 m 10 mm czarna szczotkowana</v>
      </c>
      <c r="F428" s="419" t="str">
        <f>+VLOOKUP(A428,cennik!A:B,2,FALSE)</f>
        <v>SEVROLL listwa pozioma dolna 2,35 m 10 mm czarna szczotkowana</v>
      </c>
      <c r="H428" s="417" t="s">
        <v>465</v>
      </c>
      <c r="I428" s="417" t="str">
        <f>CONCATENATE(H428,"-",J9)</f>
        <v>2350-szczot.czarna</v>
      </c>
      <c r="Z428" s="1" t="b">
        <f t="shared" si="8"/>
        <v>1</v>
      </c>
    </row>
    <row r="429" spans="1:26" s="417" customFormat="1" ht="15" customHeight="1" x14ac:dyDescent="0.3">
      <c r="A429" s="421">
        <v>205175</v>
      </c>
      <c r="B429" s="419"/>
      <c r="C429" s="417" t="str">
        <f>CONCATENATE(H429,"-",J9)</f>
        <v>3000-szczot.czarna</v>
      </c>
      <c r="D429" s="421">
        <v>205175</v>
      </c>
      <c r="E429" s="419" t="str">
        <f>+VLOOKUP(A429,cennik!A:G,2,FALSE)</f>
        <v>SEVROLL listwa pozioma dolna 3 m 10 mm czarna szczotkowana</v>
      </c>
      <c r="F429" s="419" t="str">
        <f>+VLOOKUP(A429,cennik!A:B,2,FALSE)</f>
        <v>SEVROLL listwa pozioma dolna 3 m 10 mm czarna szczotkowana</v>
      </c>
      <c r="H429" s="417" t="s">
        <v>466</v>
      </c>
      <c r="I429" s="417" t="str">
        <f>CONCATENATE(H429,"-",J9)</f>
        <v>3000-szczot.czarna</v>
      </c>
      <c r="Z429" s="1" t="b">
        <f t="shared" si="8"/>
        <v>1</v>
      </c>
    </row>
    <row r="430" spans="1:26" s="417" customFormat="1" ht="15" customHeight="1" x14ac:dyDescent="0.3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listwa pozioma dolna 1,7m 10mm grafit</v>
      </c>
      <c r="F430" s="419" t="str">
        <f>+VLOOKUP(A430,cennik!A:B,2,FALSE)</f>
        <v>SEVROLL 06037 listwa pozioma dolna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3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listwa pozioma dolna 2,35m 10mm grafit</v>
      </c>
      <c r="F431" s="419" t="str">
        <f>+VLOOKUP(A431,cennik!A:B,2,FALSE)</f>
        <v>SEVROLL 06038 listwa pozioma dolna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3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listaw pozioma dolna 3m 10mm grafit</v>
      </c>
      <c r="F432" s="419" t="str">
        <f>+VLOOKUP(A432,cennik!A:B,2,FALSE)</f>
        <v>SEVROLL 05967 listaw pozioma dolna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3">
      <c r="A433" s="421">
        <v>276736</v>
      </c>
      <c r="B433" s="419"/>
      <c r="C433" s="417" t="str">
        <f>CONCATENATE(H433,"-",J15)</f>
        <v>1700- biały połysk</v>
      </c>
      <c r="D433" s="421">
        <v>276736</v>
      </c>
      <c r="E433" s="419" t="str">
        <f>+VLOOKUP(A433,cennik!A:G,2,FALSE)</f>
        <v>SEVROLL 04062 Gemini 10 dolna maskownica 1,7 m 10 mm, biały połysk</v>
      </c>
      <c r="F433" s="419" t="str">
        <f>+VLOOKUP(A433,cennik!A:B,2,FALSE)</f>
        <v>SEVROLL 04062 Gemini 10 dolna maskownica 1,7 m 10 mm, biały połysk</v>
      </c>
      <c r="H433" s="417" t="s">
        <v>464</v>
      </c>
      <c r="I433" s="417" t="str">
        <f>CONCATENATE(H433,"-",J15)</f>
        <v>1700- biały połysk</v>
      </c>
      <c r="Z433" s="1" t="b">
        <f t="shared" si="8"/>
        <v>1</v>
      </c>
    </row>
    <row r="434" spans="1:26" s="417" customFormat="1" ht="15" customHeight="1" x14ac:dyDescent="0.3">
      <c r="A434" s="421">
        <v>267954</v>
      </c>
      <c r="B434" s="419"/>
      <c r="C434" s="417" t="str">
        <f>CONCATENATE(H434,"-",J15)</f>
        <v>2350- biały połysk</v>
      </c>
      <c r="D434" s="421">
        <v>267954</v>
      </c>
      <c r="E434" s="419" t="str">
        <f>+VLOOKUP(A434,cennik!A:G,2,FALSE)</f>
        <v>SEVROLL 04063 Gemini 10 dolna maskownica 2,35 m 10 mm, biały połysk</v>
      </c>
      <c r="F434" s="419" t="str">
        <f>+VLOOKUP(A434,cennik!A:B,2,FALSE)</f>
        <v>SEVROLL 04063 Gemini 10 dolna maskownica 2,35 m 10 mm, biały połysk</v>
      </c>
      <c r="H434" s="417" t="s">
        <v>465</v>
      </c>
      <c r="I434" s="417" t="str">
        <f>CONCATENATE(H434,"-",J15)</f>
        <v>2350- biały połysk</v>
      </c>
      <c r="Z434" s="1" t="b">
        <f t="shared" si="8"/>
        <v>1</v>
      </c>
    </row>
    <row r="435" spans="1:26" ht="15" customHeight="1" x14ac:dyDescent="0.3">
      <c r="A435" s="421">
        <v>265067</v>
      </c>
      <c r="B435" s="419"/>
      <c r="C435" s="417" t="str">
        <f>CONCATENATE(H435,"-",J15)</f>
        <v>3000- biały połysk</v>
      </c>
      <c r="D435" s="421">
        <v>265067</v>
      </c>
      <c r="E435" s="419" t="str">
        <f>+VLOOKUP(A435,cennik!A:G,2,FALSE)</f>
        <v>SEVROLL listwa pozioma dolna 3 m 10 mm, biały połysk</v>
      </c>
      <c r="F435" s="419" t="str">
        <f>+VLOOKUP(A435,cennik!A:B,2,FALSE)</f>
        <v>SEVROLL listwa pozioma dolna 3 m 10 mm, biały połysk</v>
      </c>
      <c r="G435" s="417"/>
      <c r="H435" s="417" t="s">
        <v>466</v>
      </c>
      <c r="I435" s="417" t="str">
        <f>CONCATENATE(H435,"-",J15)</f>
        <v>3000- biały połysk</v>
      </c>
      <c r="Z435" s="1" t="b">
        <f t="shared" si="8"/>
        <v>1</v>
      </c>
    </row>
    <row r="436" spans="1:26" s="425" customFormat="1" ht="15" customHeight="1" x14ac:dyDescent="0.3">
      <c r="A436" s="421">
        <v>278059</v>
      </c>
      <c r="B436" s="419"/>
      <c r="C436" s="417" t="str">
        <f>CONCATENATE(H436,"-",J4)</f>
        <v>3000-srebrny</v>
      </c>
      <c r="D436" s="421">
        <v>278059</v>
      </c>
      <c r="E436" s="419" t="str">
        <f>+VLOOKUP(A436,cennik!A:G,2,FALSE)</f>
        <v>SEVROLL 04095 Gemini 4 maskownica dolna 3 m 4 mm, srebrna</v>
      </c>
      <c r="F436" s="419" t="str">
        <f>+VLOOKUP(A436,cennik!A:B,2,FALSE)</f>
        <v>SEVROLL 04095 Gemini 4 maskownica dolna 3 m 4 mm, srebrna</v>
      </c>
      <c r="G436" s="417"/>
      <c r="H436" s="417" t="s">
        <v>466</v>
      </c>
      <c r="I436" s="417" t="str">
        <f>CONCATENATE(H436,"-",J4)</f>
        <v>3000-srebrny</v>
      </c>
      <c r="Z436" s="1" t="b">
        <f t="shared" si="8"/>
        <v>1</v>
      </c>
    </row>
    <row r="437" spans="1:26" s="425" customFormat="1" ht="15" customHeight="1" x14ac:dyDescent="0.3">
      <c r="A437" s="421">
        <v>284526</v>
      </c>
      <c r="B437" s="419"/>
      <c r="C437" s="417" t="str">
        <f>CONCATENATE(H437,"-",J15)</f>
        <v>3000- biały połysk</v>
      </c>
      <c r="D437" s="421">
        <v>284526</v>
      </c>
      <c r="E437" s="419" t="str">
        <f>+VLOOKUP(A437,cennik!A:G,2,FALSE)</f>
        <v>SEVROLL Pax maskownica dolna 3m 4mm biały połysk</v>
      </c>
      <c r="F437" s="419" t="str">
        <f>+VLOOKUP(A437,cennik!A:B,2,FALSE)</f>
        <v>SEVROLL Pax maskownica dolna 3m 4mm biały połysk</v>
      </c>
      <c r="G437" s="417"/>
      <c r="H437" s="417" t="s">
        <v>466</v>
      </c>
      <c r="I437" s="417" t="str">
        <f>CONCATENATE(H437,"-",J15)</f>
        <v>3000- biały połysk</v>
      </c>
      <c r="Z437" s="1" t="b">
        <f t="shared" si="8"/>
        <v>1</v>
      </c>
    </row>
    <row r="438" spans="1:26" s="425" customFormat="1" ht="15" customHeight="1" x14ac:dyDescent="0.3">
      <c r="A438" s="425">
        <v>422030</v>
      </c>
      <c r="C438" s="417" t="str">
        <f>CONCATENATE(H438,"-",J17)</f>
        <v>3000- czarny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 czarny mat</v>
      </c>
      <c r="Z438" s="1" t="b">
        <f t="shared" ref="Z438:Z505" si="9">A438=D438</f>
        <v>1</v>
      </c>
    </row>
    <row r="439" spans="1:26" s="425" customFormat="1" ht="15" customHeight="1" x14ac:dyDescent="0.3">
      <c r="A439" s="425">
        <v>422036</v>
      </c>
      <c r="C439" s="417" t="str">
        <f>CONCATENATE(H439,"-",J17)</f>
        <v>3000- czarny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 czarny mat</v>
      </c>
      <c r="Z439" s="1" t="b">
        <f t="shared" si="9"/>
        <v>1</v>
      </c>
    </row>
    <row r="440" spans="1:26" s="425" customFormat="1" ht="15" customHeight="1" x14ac:dyDescent="0.3">
      <c r="A440" s="427">
        <v>405369</v>
      </c>
      <c r="C440" s="417" t="str">
        <f>CONCATENATE(H440,"-",J16)</f>
        <v>1700-czarny połysk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 czarny mat</v>
      </c>
      <c r="Z440" s="1" t="b">
        <f t="shared" si="9"/>
        <v>1</v>
      </c>
    </row>
    <row r="441" spans="1:26" s="425" customFormat="1" ht="15" customHeight="1" x14ac:dyDescent="0.3">
      <c r="A441" s="427">
        <v>405375</v>
      </c>
      <c r="C441" s="417" t="str">
        <f>CONCATENATE(H441,"-",J16)</f>
        <v>1350-czarny połysk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 czarny mat</v>
      </c>
      <c r="Z441" s="1" t="b">
        <f t="shared" si="9"/>
        <v>1</v>
      </c>
    </row>
    <row r="442" spans="1:26" s="425" customFormat="1" ht="15" customHeight="1" x14ac:dyDescent="0.3">
      <c r="A442" s="427">
        <v>405376</v>
      </c>
      <c r="C442" s="417" t="str">
        <f>CONCATENATE(H442,"-",J16)</f>
        <v>3000-czarny połysk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 czarny mat</v>
      </c>
      <c r="Z442" s="1" t="b">
        <f t="shared" si="9"/>
        <v>1</v>
      </c>
    </row>
    <row r="443" spans="1:26" s="425" customFormat="1" ht="15" customHeight="1" x14ac:dyDescent="0.3">
      <c r="A443" s="427">
        <v>497666</v>
      </c>
      <c r="C443" s="417" t="str">
        <f>CONCATENATE(H443,"-",J18)</f>
        <v>1700-biały mat</v>
      </c>
      <c r="D443" s="427">
        <v>497666</v>
      </c>
      <c r="E443" s="419" t="str">
        <f>+VLOOKUP(A443,cennik!A:G,2,FALSE)</f>
        <v>SEVROLL 05939 Gemini 10 dolna maskownica 1,7 m 10 mm, biały mat</v>
      </c>
      <c r="F443" s="419" t="str">
        <f>+VLOOKUP(A443,cennik!A:B,2,FALSE)</f>
        <v>SEVROLL 05939 Gemini 10 dolna maskownica 1,7 m 10 mm, biały mat</v>
      </c>
      <c r="H443" s="425">
        <v>1700</v>
      </c>
      <c r="I443" s="417" t="str">
        <f>CONCATENATE(H443,"-",J18)</f>
        <v>1700-biały mat</v>
      </c>
      <c r="Z443" s="1"/>
    </row>
    <row r="444" spans="1:26" s="425" customFormat="1" ht="15" customHeight="1" x14ac:dyDescent="0.3">
      <c r="A444" s="427">
        <v>497668</v>
      </c>
      <c r="C444" s="417" t="str">
        <f>CONCATENATE(H444,"-",J18)</f>
        <v>2350-biały mat</v>
      </c>
      <c r="D444" s="427">
        <v>497668</v>
      </c>
      <c r="E444" s="419" t="str">
        <f>+VLOOKUP(A444,cennik!A:G,2,FALSE)</f>
        <v>SEVROLL 05940 Gemini 10 dolna maskownica 2,35 m 10 mm, biały mat</v>
      </c>
      <c r="F444" s="419" t="str">
        <f>+VLOOKUP(A444,cennik!A:B,2,FALSE)</f>
        <v>SEVROLL 05940 Gemini 10 dolna maskownica 2,35 m 10 mm, biały mat</v>
      </c>
      <c r="H444" s="425">
        <v>2350</v>
      </c>
      <c r="I444" s="417" t="str">
        <f>CONCATENATE(H444,"-",J18)</f>
        <v>2350-biały mat</v>
      </c>
      <c r="Z444" s="1"/>
    </row>
    <row r="445" spans="1:26" s="425" customFormat="1" ht="15" customHeight="1" x14ac:dyDescent="0.3">
      <c r="A445" s="427">
        <v>497669</v>
      </c>
      <c r="C445" s="417" t="str">
        <f>CONCATENATE(H445,"-",J18)</f>
        <v>3000-biały mat</v>
      </c>
      <c r="D445" s="427">
        <v>497669</v>
      </c>
      <c r="E445" s="419" t="str">
        <f>+VLOOKUP(A445,cennik!A:G,2,FALSE)</f>
        <v>SEVROLL 05941 listwa pozioma dolna 3 m 10 mm, biały mat</v>
      </c>
      <c r="F445" s="419" t="str">
        <f>+VLOOKUP(A445,cennik!A:B,2,FALSE)</f>
        <v>SEVROLL 05941 listwa pozioma dolna 3 m 10 mm, biały mat</v>
      </c>
      <c r="H445" s="425">
        <v>3000</v>
      </c>
      <c r="I445" s="417" t="str">
        <f>CONCATENATE(H445,"-",J18)</f>
        <v>3000-biały mat</v>
      </c>
      <c r="Z445" s="1"/>
    </row>
    <row r="446" spans="1:26" s="417" customFormat="1" ht="15" customHeight="1" x14ac:dyDescent="0.3">
      <c r="A446" s="425">
        <v>422027</v>
      </c>
      <c r="B446" s="425"/>
      <c r="C446" s="417" t="str">
        <f>CONCATENATE(H446,"-",J17)</f>
        <v>1700- czarny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 czarny mat</v>
      </c>
      <c r="Z446" s="1" t="b">
        <f t="shared" si="9"/>
        <v>1</v>
      </c>
    </row>
    <row r="447" spans="1:26" s="417" customFormat="1" ht="15" customHeight="1" x14ac:dyDescent="0.3">
      <c r="A447" s="425">
        <v>422029</v>
      </c>
      <c r="B447" s="425"/>
      <c r="C447" s="417" t="str">
        <f>CONCATENATE(H447,"-",J17)</f>
        <v>2350- czarny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 czarny mat</v>
      </c>
      <c r="Z447" s="1" t="b">
        <f t="shared" si="9"/>
        <v>1</v>
      </c>
    </row>
    <row r="448" spans="1:26" s="417" customFormat="1" ht="15" customHeight="1" x14ac:dyDescent="0.3">
      <c r="A448" s="425">
        <v>422032</v>
      </c>
      <c r="B448" s="425"/>
      <c r="C448" s="417" t="str">
        <f>CONCATENATE(H448,"-",J17)</f>
        <v>3000- czarny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 czarny mat</v>
      </c>
      <c r="Z448" s="1" t="b">
        <f t="shared" si="9"/>
        <v>1</v>
      </c>
    </row>
    <row r="449" spans="1:26" s="417" customFormat="1" ht="15" customHeight="1" x14ac:dyDescent="0.3">
      <c r="A449" s="423">
        <v>452737</v>
      </c>
      <c r="B449" s="419"/>
      <c r="C449" s="417" t="str">
        <f>CONCATENATE(H449,"-",J17)</f>
        <v>3000- czarny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3000-czarny połysk</v>
      </c>
      <c r="Z449" s="1" t="b">
        <f t="shared" si="9"/>
        <v>1</v>
      </c>
    </row>
    <row r="450" spans="1:26" ht="15" customHeight="1" x14ac:dyDescent="0.3">
      <c r="A450" s="196">
        <v>526476</v>
      </c>
      <c r="B450" s="419"/>
      <c r="C450" s="417" t="str">
        <f>CONCATENATE(H450,"-",J22)</f>
        <v>1700-czarny lakier strukturalny</v>
      </c>
      <c r="D450" s="196">
        <v>526476</v>
      </c>
      <c r="E450" s="419" t="str">
        <f>+VLOOKUP(A450,cennik!A:G,2,FALSE)</f>
        <v>SEVROLL 06439 listwa pozioma dolna 1,7m 10mm czarny lakier strukturalny</v>
      </c>
      <c r="F450" s="419" t="str">
        <f>+VLOOKUP(A450,cennik!A:B,2,FALSE)</f>
        <v>SEVROLL 06439 listwa pozioma dolna 1,7m 10mm czarny lakier strukturalny</v>
      </c>
      <c r="G450" s="417"/>
      <c r="H450" s="417">
        <v>1700</v>
      </c>
      <c r="I450" s="417" t="str">
        <f>CONCATENATE(H450,"-",J22)</f>
        <v>1700-czarny lakier strukturalny</v>
      </c>
      <c r="Z450" s="1" t="b">
        <f t="shared" si="9"/>
        <v>1</v>
      </c>
    </row>
    <row r="451" spans="1:26" ht="15" customHeight="1" x14ac:dyDescent="0.3">
      <c r="A451" s="196">
        <v>526477</v>
      </c>
      <c r="B451" s="419"/>
      <c r="C451" s="417" t="str">
        <f>CONCATENATE(H451,"-",J22)</f>
        <v>2350-czarny lakier strukturalny</v>
      </c>
      <c r="D451" s="196">
        <v>526477</v>
      </c>
      <c r="E451" s="419" t="str">
        <f>+VLOOKUP(A451,cennik!A:G,2,FALSE)</f>
        <v>SEVROLL 06440 listwa pozioma dolna 2,35m 10mm czarny lakier strukturalny</v>
      </c>
      <c r="F451" s="419" t="str">
        <f>+VLOOKUP(A451,cennik!A:B,2,FALSE)</f>
        <v>SEVROLL 06440 listwa pozioma dolna 2,35m 10mm czarny lakier strukturalny</v>
      </c>
      <c r="G451" s="417"/>
      <c r="H451" s="417">
        <v>2350</v>
      </c>
      <c r="I451" s="417" t="str">
        <f>CONCATENATE(H451,"-",J22)</f>
        <v>2350-czarny lakier strukturalny</v>
      </c>
      <c r="Z451" s="1" t="b">
        <f t="shared" si="9"/>
        <v>1</v>
      </c>
    </row>
    <row r="452" spans="1:26" ht="15" customHeight="1" x14ac:dyDescent="0.3">
      <c r="A452" s="196">
        <v>526478</v>
      </c>
      <c r="B452" s="419"/>
      <c r="C452" s="417" t="str">
        <f>CONCATENATE(H452,"-",J22)</f>
        <v>3000-czarny lakier strukturalny</v>
      </c>
      <c r="D452" s="196">
        <v>526478</v>
      </c>
      <c r="E452" s="419" t="str">
        <f>+VLOOKUP(A452,cennik!A:G,2,FALSE)</f>
        <v>SEVROLL 06123 listaw pozioma dolna 3m 10mm czarny lakier strukturalny</v>
      </c>
      <c r="F452" s="419" t="str">
        <f>+VLOOKUP(A452,cennik!A:B,2,FALSE)</f>
        <v>SEVROLL 06123 listaw pozioma dolna 3m 10mm czarny lakier strukturalny</v>
      </c>
      <c r="G452" s="417"/>
      <c r="H452" s="417">
        <v>3000</v>
      </c>
      <c r="I452" s="417" t="str">
        <f>CONCATENATE(H452,"-",J22)</f>
        <v>3000-czarny lakier strukturalny</v>
      </c>
      <c r="Z452" s="1" t="b">
        <f t="shared" si="9"/>
        <v>1</v>
      </c>
    </row>
    <row r="453" spans="1:26" s="430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3">
      <c r="A454" s="49">
        <v>278056</v>
      </c>
      <c r="B454" s="48"/>
      <c r="C454" s="1" t="str">
        <f>J4</f>
        <v>srebrny</v>
      </c>
      <c r="D454" s="49">
        <v>278056</v>
      </c>
      <c r="E454" s="48" t="str">
        <f>+VLOOKUP(A454,cennik!A:G,2,FALSE)</f>
        <v>SEVROLL Pax rączka 2,7m srebrny</v>
      </c>
      <c r="F454" s="48" t="str">
        <f>+VLOOKUP(A454,cennik!A:B,2,FALSE)</f>
        <v>SEVROLL Pax rączka 2,7m srebrny</v>
      </c>
      <c r="G454" s="1"/>
      <c r="H454" s="1">
        <v>2700</v>
      </c>
      <c r="I454" s="1" t="str">
        <f>J4</f>
        <v>srebrny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 biały połysk</v>
      </c>
      <c r="D455" s="49">
        <v>284521</v>
      </c>
      <c r="E455" s="48" t="str">
        <f>+VLOOKUP(A455,cennik!A:G,2,FALSE)</f>
        <v>SEVROLL Pax rączka 2,7 m, biały połysk</v>
      </c>
      <c r="F455" s="48" t="str">
        <f>+VLOOKUP(A455,cennik!A:B,2,FALSE)</f>
        <v>SEVROLL Pax rączka 2,7 m, biały połysk</v>
      </c>
      <c r="H455" s="1">
        <v>2700</v>
      </c>
      <c r="I455" s="1" t="str">
        <f>J15</f>
        <v> biały połysk</v>
      </c>
      <c r="Z455" s="1" t="b">
        <f t="shared" si="9"/>
        <v>1</v>
      </c>
    </row>
    <row r="456" spans="1:26" ht="15" customHeight="1" x14ac:dyDescent="0.3">
      <c r="A456" s="431">
        <v>456332</v>
      </c>
      <c r="B456" s="430"/>
      <c r="C456" s="430" t="str">
        <f>J17</f>
        <v> czarny mat</v>
      </c>
      <c r="D456" s="431">
        <v>456332</v>
      </c>
      <c r="E456" s="48" t="str">
        <f>+VLOOKUP(A456,cennik!A:G,2,FALSE)</f>
        <v>SEVROLL Pax rączka 2,7 m, czarny mat</v>
      </c>
      <c r="F456" s="48" t="str">
        <f>+VLOOKUP(A456,cennik!A:B,2,FALSE)</f>
        <v>SEVROLL Pax rączka 2,7 m, czarny mat</v>
      </c>
      <c r="G456" s="430"/>
      <c r="H456" s="430">
        <v>2700</v>
      </c>
      <c r="I456" s="430" t="str">
        <f>J17</f>
        <v> czarny mat</v>
      </c>
      <c r="Z456" s="1" t="b">
        <f t="shared" si="9"/>
        <v>1</v>
      </c>
    </row>
    <row r="457" spans="1:26" s="430" customFormat="1" ht="15" customHeight="1" x14ac:dyDescent="0.3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3">
      <c r="A458" s="49">
        <v>278057</v>
      </c>
      <c r="B458" s="161"/>
      <c r="C458" s="1" t="str">
        <f>J4</f>
        <v>srebrny</v>
      </c>
      <c r="D458" s="49">
        <v>278057</v>
      </c>
      <c r="E458" s="48" t="str">
        <f>+VLOOKUP(A458,cennik!A:G,2,FALSE)</f>
        <v>SEVROLL Pax rączka 3m srebrny</v>
      </c>
      <c r="F458" s="48" t="str">
        <f>+VLOOKUP(A458,cennik!A:B,2,FALSE)</f>
        <v>SEVROLL Pax rączka 3m srebrny</v>
      </c>
      <c r="G458" s="1"/>
      <c r="H458" s="1">
        <v>3000</v>
      </c>
      <c r="I458" s="1" t="str">
        <f>J4</f>
        <v>srebrny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 biały połysk</v>
      </c>
      <c r="D459" s="49">
        <v>284523</v>
      </c>
      <c r="E459" s="48" t="str">
        <f>+VLOOKUP(A459,cennik!A:G,2,FALSE)</f>
        <v>SEVROLL Pax rączka 3 m, biały połysk</v>
      </c>
      <c r="F459" s="48" t="str">
        <f>+VLOOKUP(A459,cennik!A:B,2,FALSE)</f>
        <v>SEVROLL Pax rączka 3 m, biały połysk</v>
      </c>
      <c r="H459" s="1">
        <v>3000</v>
      </c>
      <c r="I459" s="1" t="str">
        <f>J15</f>
        <v> biały połysk</v>
      </c>
      <c r="Z459" s="1" t="b">
        <f t="shared" si="9"/>
        <v>1</v>
      </c>
    </row>
    <row r="460" spans="1:26" ht="15" customHeight="1" x14ac:dyDescent="0.3">
      <c r="A460" s="431">
        <v>456333</v>
      </c>
      <c r="B460" s="430"/>
      <c r="C460" s="430" t="str">
        <f>J17</f>
        <v> czarny mat</v>
      </c>
      <c r="D460" s="431">
        <v>456333</v>
      </c>
      <c r="E460" s="48" t="str">
        <f>+VLOOKUP(A460,cennik!A:G,2,FALSE)</f>
        <v>SEVROLL Pax rączka 3m, czarny mat</v>
      </c>
      <c r="F460" s="48" t="str">
        <f>+VLOOKUP(A460,cennik!A:B,2,FALSE)</f>
        <v>SEVROLL Pax rączka 3m, czarny mat</v>
      </c>
      <c r="G460" s="430"/>
      <c r="H460" s="430">
        <v>3000</v>
      </c>
      <c r="I460" s="430" t="str">
        <f>J17</f>
        <v> czarny mat</v>
      </c>
      <c r="Z460" s="1" t="b">
        <f t="shared" si="9"/>
        <v>1</v>
      </c>
    </row>
    <row r="461" spans="1:26" ht="15" customHeight="1" x14ac:dyDescent="0.3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Pax listwa pozioma górna 3m srebrny</v>
      </c>
      <c r="F462" s="48" t="str">
        <f>+VLOOKUP(A462,cennik!A:B,2,FALSE)</f>
        <v>SEVROLL Pax listwa pozioma górna 3m srebrny</v>
      </c>
      <c r="H462" s="1">
        <v>3000</v>
      </c>
      <c r="I462" s="1" t="str">
        <f>J4</f>
        <v>srebrny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Pax tor dolny 3m biały połysk</v>
      </c>
      <c r="F463" s="48" t="str">
        <f>+VLOOKUP(A463,cennik!A:B,2,FALSE)</f>
        <v>SEVROLL Pax tor dolny 3m biały połysk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maskownica dolna 3 m 4 mm, srebrna</v>
      </c>
      <c r="F464" s="48" t="str">
        <f>+VLOOKUP(A464,cennik!A:B,2,FALSE)</f>
        <v>SEVROLL 04095 Gemini 4 maskownica dolna 3 m 4 mm, srebrna</v>
      </c>
      <c r="H464" s="1">
        <v>3000</v>
      </c>
      <c r="I464" s="1" t="str">
        <f>J4</f>
        <v>srebrny</v>
      </c>
      <c r="Z464" s="1" t="b">
        <f t="shared" si="9"/>
        <v>1</v>
      </c>
    </row>
    <row r="465" spans="1:26" s="434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Pax maskownica dolna 3m 4mm biały połysk</v>
      </c>
      <c r="F465" s="48" t="str">
        <f>+VLOOKUP(A465,cennik!A:B,2,FALSE)</f>
        <v>SEVROLL Pax maskownica dolna 3m 4mm biały połysk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3">
      <c r="A466" s="49">
        <v>288126</v>
      </c>
      <c r="B466" s="161" t="s">
        <v>841</v>
      </c>
      <c r="C466" s="143" t="str">
        <f>J4</f>
        <v>srebrny</v>
      </c>
      <c r="D466" s="49">
        <v>288126</v>
      </c>
      <c r="E466" s="48" t="str">
        <f>+VLOOKUP(A466,cennik!A:G,2,FALSE)</f>
        <v>SEVROLL Pax uchwyt przyklejany srebrny</v>
      </c>
      <c r="F466" s="48" t="str">
        <f>+VLOOKUP(A466,cennik!A:B,2,FALSE)</f>
        <v>SEVROLL Pax uchwyt przyklejany srebrny</v>
      </c>
      <c r="G466" s="1"/>
      <c r="H466" s="1"/>
      <c r="I466" s="1" t="str">
        <f>J4</f>
        <v>srebrny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 biały połysk</v>
      </c>
      <c r="D467" s="49">
        <v>288125</v>
      </c>
      <c r="E467" s="48" t="str">
        <f>+VLOOKUP(A467,cennik!A:G,2,FALSE)</f>
        <v>SEVROLL Pax uchwyt przyklejany biały</v>
      </c>
      <c r="F467" s="48" t="str">
        <f>+VLOOKUP(A467,cennik!A:B,2,FALSE)</f>
        <v>SEVROLL Pax uchwyt przyklejany biały</v>
      </c>
      <c r="I467" s="1" t="str">
        <f>J15</f>
        <v> biały połysk</v>
      </c>
      <c r="Z467" s="1" t="b">
        <f t="shared" si="9"/>
        <v>1</v>
      </c>
    </row>
    <row r="468" spans="1:26" ht="15" customHeight="1" x14ac:dyDescent="0.3">
      <c r="A468" s="435">
        <v>278060</v>
      </c>
      <c r="B468" s="433" t="s">
        <v>840</v>
      </c>
      <c r="C468" s="434" t="str">
        <f>J4</f>
        <v>srebrny</v>
      </c>
      <c r="D468" s="435">
        <v>278060</v>
      </c>
      <c r="E468" s="432" t="str">
        <f>+VLOOKUP(A468,cennik!A:G,2,FALSE)</f>
        <v>SEVROLL Pax záslepka do rączki (4 szt) srebrny</v>
      </c>
      <c r="F468" s="432" t="str">
        <f>+VLOOKUP(A468,cennik!A:B,2,FALSE)</f>
        <v>SEVROLL Pax záslepka do rączki (4 szt) srebrny</v>
      </c>
      <c r="G468" s="434"/>
      <c r="H468" s="434"/>
      <c r="I468" s="434" t="str">
        <f>J4</f>
        <v>srebrny</v>
      </c>
      <c r="Z468" s="1" t="b">
        <f t="shared" si="9"/>
        <v>1</v>
      </c>
    </row>
    <row r="469" spans="1:26" ht="15" customHeight="1" x14ac:dyDescent="0.3">
      <c r="A469" s="435">
        <v>284529</v>
      </c>
      <c r="B469" s="433"/>
      <c r="C469" s="434" t="str">
        <f>J15</f>
        <v> biały połysk</v>
      </c>
      <c r="D469" s="435">
        <v>284529</v>
      </c>
      <c r="E469" s="432" t="str">
        <f>+VLOOKUP(A469,cennik!A:G,2,FALSE)</f>
        <v>SEVROLL Pax zaślepka do rączki (4 szt), biały połysk</v>
      </c>
      <c r="F469" s="432" t="str">
        <f>+VLOOKUP(A469,cennik!A:B,2,FALSE)</f>
        <v>SEVROLL Pax zaślepka do rączki (4 szt), biały połysk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 czarny mat</v>
      </c>
      <c r="D470" s="1">
        <v>422012</v>
      </c>
      <c r="E470" s="48" t="str">
        <f>+VLOOKUP(A470,cennik!A:G,2,FALSE)</f>
        <v>SEVROLL Pax zaślepka do rączki (4 szt.), czarny mat</v>
      </c>
      <c r="F470" s="48" t="str">
        <f>+VLOOKUP(A470,cennik!A:B,2,FALSE)</f>
        <v>SEVROLL Pax zaślepka do rączki (4 szt.), czarny mat</v>
      </c>
      <c r="I470" s="1" t="str">
        <f>J17</f>
        <v> czarny mat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stoper do torów Hide N i M</v>
      </c>
      <c r="F472" s="48" t="str">
        <f>+VLOOKUP(A472,cennik!A:B,2,FALSE)</f>
        <v>SEVROLL stoper do torów Hide N i M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3000-srebrny</v>
      </c>
      <c r="D473" s="49">
        <v>283904</v>
      </c>
      <c r="E473" s="48" t="str">
        <f>+VLOOKUP(A473,cennik!A:G,2,FALSE)</f>
        <v>SEVROLL Pax listwa montażowa 3m srebrny</v>
      </c>
      <c r="F473" s="48" t="str">
        <f>+VLOOKUP(A473,cennik!A:B,2,FALSE)</f>
        <v>SEVROLL Pax listwa montażowa 3m srebrny</v>
      </c>
      <c r="H473" s="1">
        <v>3000</v>
      </c>
      <c r="I473" s="1" t="str">
        <f>J4</f>
        <v>srebrny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1500-srebrny</v>
      </c>
      <c r="D476" s="49">
        <v>224152</v>
      </c>
      <c r="E476" s="48" t="str">
        <f>+VLOOKUP(A476,cennik!A:G,2,FALSE)</f>
        <v>SEVROLL maskownica dolna Simple/Blue 1,5m (do płyty laminowanej 10mm) srebrny</v>
      </c>
      <c r="F476" s="48" t="str">
        <f>+VLOOKUP(A476,cennik!A:B,2,FALSE)</f>
        <v>SEVROLL maskownica dolna Simple/Blue 1,5m (do płyty laminowanej 10mm) srebrny</v>
      </c>
      <c r="H476" s="1">
        <v>1500</v>
      </c>
      <c r="I476" s="1" t="str">
        <f>CONCATENATE(H476,"-",J4)</f>
        <v>1500-srebrny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2000-srebrny</v>
      </c>
      <c r="D477" s="49">
        <v>224153</v>
      </c>
      <c r="E477" s="48" t="str">
        <f>+VLOOKUP(A477,cennik!A:G,2,FALSE)</f>
        <v>SEVROLL maskownica dolna Simple/Blue 2m (do płyty laminowanej 10mm) srebrny</v>
      </c>
      <c r="F477" s="48" t="str">
        <f>+VLOOKUP(A477,cennik!A:B,2,FALSE)</f>
        <v>SEVROLL maskownica dolna Simple/Blue 2m (do płyty laminowanej 10mm) srebrny</v>
      </c>
      <c r="H477" s="1">
        <v>2000</v>
      </c>
      <c r="I477" s="1" t="str">
        <f>CONCATENATE(H477,"-",J4)</f>
        <v>2000-srebrny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3000-srebrny</v>
      </c>
      <c r="D478" s="49">
        <v>222574</v>
      </c>
      <c r="E478" s="48" t="str">
        <f>+VLOOKUP(A478,cennik!A:G,2,FALSE)</f>
        <v>SEVROLL maskownica dolna Simple/Blue 3m (do płyty laminowanej 10mm) srebrny</v>
      </c>
      <c r="F478" s="48" t="str">
        <f>+VLOOKUP(A478,cennik!A:B,2,FALSE)</f>
        <v>SEVROLL maskownica dolna Simple/Blue 3m (do płyty laminowanej 10mm) srebrny</v>
      </c>
      <c r="H478" s="1">
        <v>3000</v>
      </c>
      <c r="I478" s="1" t="str">
        <f>CONCATENATE(H478,"-",J4)</f>
        <v>3000-srebrny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1500-j.brąz</v>
      </c>
      <c r="D479" s="49">
        <v>224155</v>
      </c>
      <c r="E479" s="48" t="str">
        <f>+VLOOKUP(A479,cennik!A:G,2,FALSE)</f>
        <v>SEVROLL maskownica dolna Simple/Blue 1,5 m (do płyty laminowanej 10 mm) oliwka</v>
      </c>
      <c r="F479" s="48" t="str">
        <f>+VLOOKUP(A479,cennik!A:B,2,FALSE)</f>
        <v>SEVROLL maskownica dolna Simple/Blue 1,5 m (do płyty laminowanej 10 mm) oliwka</v>
      </c>
      <c r="H479" s="1">
        <v>1500</v>
      </c>
      <c r="I479" s="1" t="str">
        <f>CONCATENATE(H479,"-",J6)</f>
        <v>1500-j.brąz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2000-j.brąz</v>
      </c>
      <c r="D480" s="49">
        <v>224156</v>
      </c>
      <c r="E480" s="48" t="str">
        <f>+VLOOKUP(A480,cennik!A:G,2,FALSE)</f>
        <v>SEVROLL maskownica dolna Simple/Blue 2 m (do płyty laminowanej 10 mm) oliwka</v>
      </c>
      <c r="F480" s="48" t="str">
        <f>+VLOOKUP(A480,cennik!A:B,2,FALSE)</f>
        <v>SEVROLL maskownica dolna Simple/Blue 2 m (do płyty laminowanej 10 mm) oliwka</v>
      </c>
      <c r="H480" s="1">
        <v>2000</v>
      </c>
      <c r="I480" s="1" t="str">
        <f>CONCATENATE(H480,"-",J6)</f>
        <v>2000-j.brąz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3000-j.brąz</v>
      </c>
      <c r="D481" s="49">
        <v>223564</v>
      </c>
      <c r="E481" s="48" t="str">
        <f>+VLOOKUP(A481,cennik!A:G,2,FALSE)</f>
        <v>SEVROLL maskownica dolna Simple/Blue 3m (do płyty laminowanej 10mm) jasny brąz</v>
      </c>
      <c r="F481" s="48" t="str">
        <f>+VLOOKUP(A481,cennik!A:B,2,FALSE)</f>
        <v>SEVROLL maskownica dolna Simple/Blue 3m (do płyty laminowanej 10mm) jasny brąz</v>
      </c>
      <c r="H481" s="1">
        <v>3000</v>
      </c>
      <c r="I481" s="1" t="str">
        <f>CONCATENATE(H481,"-",J6)</f>
        <v>3000-j.brąz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1500-srebrny</v>
      </c>
      <c r="D483" s="49">
        <v>224137</v>
      </c>
      <c r="E483" s="48" t="str">
        <f>+VLOOKUP(A483,cennik!A:G,2,FALSE)</f>
        <v>SEVROLL maskownica dolna Simple/Blue 1,5m (do płyty laminowanej 18mm) srebrny</v>
      </c>
      <c r="F483" s="48" t="str">
        <f>+VLOOKUP(A483,cennik!A:B,2,FALSE)</f>
        <v>SEVROLL maskownica dolna Simple/Blue 1,5m (do płyty laminowanej 18mm) srebrny</v>
      </c>
      <c r="H483" s="1">
        <v>1500</v>
      </c>
      <c r="I483" s="1" t="str">
        <f>CONCATENATE(H483,"-",J4)</f>
        <v>1500-srebrny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2000-srebrny</v>
      </c>
      <c r="D484" s="49">
        <v>224138</v>
      </c>
      <c r="E484" s="48" t="str">
        <f>+VLOOKUP(A484,cennik!A:G,2,FALSE)</f>
        <v>SEVROLL maskownica dolna Simple/Blue 2m (do płyty laminowanej 18mm) srebrny</v>
      </c>
      <c r="F484" s="48" t="str">
        <f>+VLOOKUP(A484,cennik!A:B,2,FALSE)</f>
        <v>SEVROLL maskownica dolna Simple/Blue 2m (do płyty laminowanej 18mm) srebrny</v>
      </c>
      <c r="H484" s="1">
        <v>2000</v>
      </c>
      <c r="I484" s="1" t="str">
        <f>CONCATENATE(H484,"-",J4)</f>
        <v>2000-srebrny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3000-srebrny</v>
      </c>
      <c r="D485" s="49">
        <v>222572</v>
      </c>
      <c r="E485" s="48" t="str">
        <f>+VLOOKUP(A485,cennik!A:G,2,FALSE)</f>
        <v>SEVROLL maskownica dolna Simple/Blue 3m (do płyty laminowanej 18mm) srebrny</v>
      </c>
      <c r="F485" s="48" t="str">
        <f>+VLOOKUP(A485,cennik!A:B,2,FALSE)</f>
        <v>SEVROLL maskownica dolna Simple/Blue 3m (do płyty laminowanej 18mm) srebrny</v>
      </c>
      <c r="H485" s="1">
        <v>3000</v>
      </c>
      <c r="I485" s="1" t="str">
        <f>CONCATENATE(H485,"-",J4)</f>
        <v>3000-srebrny</v>
      </c>
      <c r="Z485" s="1" t="b">
        <f t="shared" si="9"/>
        <v>1</v>
      </c>
    </row>
    <row r="486" spans="1:26" ht="15" customHeight="1" x14ac:dyDescent="0.3">
      <c r="A486" s="1">
        <v>488235</v>
      </c>
      <c r="B486" s="445"/>
      <c r="C486" s="1" t="str">
        <f>CONCATENATE(H486,"-",J17)</f>
        <v>1500- czarny mat</v>
      </c>
      <c r="D486" s="1">
        <v>488235</v>
      </c>
      <c r="E486" s="48" t="str">
        <f>+VLOOKUP(A486,cennik!A:G,2,FALSE)</f>
        <v>SEVROLL 05747 dolna maskownica Simple/Blue 2m (do lamina18mm), czarny mat</v>
      </c>
      <c r="F486" s="48" t="str">
        <f>+VLOOKUP(A486,cennik!A:B,2,FALSE)</f>
        <v>SEVROLL 05747 dolna maskownica Simple/Blue 2m (do lamina18mm), czarny mat</v>
      </c>
      <c r="H486" s="1">
        <v>1500</v>
      </c>
      <c r="I486" s="1" t="str">
        <f>CONCATENATE(H486,"-",J17)</f>
        <v>1500- czarny mat</v>
      </c>
      <c r="Z486" s="1" t="b">
        <f t="shared" si="9"/>
        <v>1</v>
      </c>
    </row>
    <row r="487" spans="1:26" ht="15" customHeight="1" x14ac:dyDescent="0.3">
      <c r="A487" s="1">
        <v>488235</v>
      </c>
      <c r="B487" s="445"/>
      <c r="C487" s="1" t="str">
        <f>CONCATENATE(H487,"-",J17)</f>
        <v>2000- czarny mat</v>
      </c>
      <c r="D487" s="1">
        <v>488235</v>
      </c>
      <c r="E487" s="48" t="str">
        <f>+VLOOKUP(A487,cennik!A:G,2,FALSE)</f>
        <v>SEVROLL 05747 dolna maskownica Simple/Blue 2m (do lamina18mm), czarny mat</v>
      </c>
      <c r="F487" s="48" t="str">
        <f>+VLOOKUP(A487,cennik!A:B,2,FALSE)</f>
        <v>SEVROLL 05747 dolna maskownica Simple/Blue 2m (do lamina18mm), czarny mat</v>
      </c>
      <c r="H487" s="1">
        <v>2000</v>
      </c>
      <c r="I487" s="1" t="str">
        <f>CONCATENATE(H487,"-",J17)</f>
        <v>2000- czarny mat</v>
      </c>
      <c r="Z487" s="1" t="b">
        <f t="shared" si="9"/>
        <v>1</v>
      </c>
    </row>
    <row r="488" spans="1:26" ht="15" customHeight="1" x14ac:dyDescent="0.3">
      <c r="A488" s="1">
        <v>488236</v>
      </c>
      <c r="B488" s="445"/>
      <c r="C488" s="1" t="str">
        <f>CONCATENATE(H488,"-",J17)</f>
        <v>3000- czarny mat</v>
      </c>
      <c r="D488" s="1">
        <v>488236</v>
      </c>
      <c r="E488" s="48" t="str">
        <f>+VLOOKUP(A488,cennik!A:G,2,FALSE)</f>
        <v>SEVROLL 05748 maskownica dolna Simple/Blue 3m (do płyty 18mm) czarny mat</v>
      </c>
      <c r="F488" s="48" t="str">
        <f>+VLOOKUP(A488,cennik!A:B,2,FALSE)</f>
        <v>SEVROLL 05748 maskownica dolna Simple/Blue 3m (do płyty 18mm) czarny mat</v>
      </c>
      <c r="H488" s="1">
        <v>3000</v>
      </c>
      <c r="I488" s="1" t="str">
        <f>CONCATENATE(H488,"-",J17)</f>
        <v>3000- czarny mat</v>
      </c>
      <c r="Z488" s="1" t="b">
        <f t="shared" si="9"/>
        <v>1</v>
      </c>
    </row>
    <row r="489" spans="1:26" ht="15" customHeight="1" x14ac:dyDescent="0.3">
      <c r="A489" s="434">
        <v>394231</v>
      </c>
      <c r="B489" s="434"/>
      <c r="C489" s="434" t="str">
        <f>CONCATENATE(H489,"-",J15)</f>
        <v>1500- biały połysk</v>
      </c>
      <c r="D489" s="434">
        <v>394231</v>
      </c>
      <c r="E489" s="432" t="str">
        <f>+VLOOKUP(A489,cennik!A:G,2,FALSE)</f>
        <v>SEVROLL dolna listwa maskująca Simple/Blue 2m(do lam.18mm) biały błyszczący</v>
      </c>
      <c r="F489" s="432" t="str">
        <f>+VLOOKUP(A489,cennik!A:B,2,FALSE)</f>
        <v>SEVROLL dolna listwa maskująca Simple/Blue 2m(do lam.18mm) biały błyszczący</v>
      </c>
      <c r="G489" s="434"/>
      <c r="H489" s="434">
        <v>1500</v>
      </c>
      <c r="I489" s="434" t="str">
        <f>CONCATENATE(H489,"-",J15)</f>
        <v>1500- biały połysk</v>
      </c>
      <c r="Z489" s="1" t="b">
        <f t="shared" si="9"/>
        <v>1</v>
      </c>
    </row>
    <row r="490" spans="1:26" ht="15" customHeight="1" x14ac:dyDescent="0.3">
      <c r="A490" s="434">
        <v>394231</v>
      </c>
      <c r="B490" s="434"/>
      <c r="C490" s="434" t="str">
        <f>CONCATENATE(H490,"-",J15)</f>
        <v>2000- biały połysk</v>
      </c>
      <c r="D490" s="434">
        <v>394231</v>
      </c>
      <c r="E490" s="432" t="str">
        <f>+VLOOKUP(A490,cennik!A:G,2,FALSE)</f>
        <v>SEVROLL dolna listwa maskująca Simple/Blue 2m(do lam.18mm) biały błyszczący</v>
      </c>
      <c r="F490" s="432" t="str">
        <f>+VLOOKUP(A490,cennik!A:B,2,FALSE)</f>
        <v>SEVROLL dolna listwa maskująca Simple/Blue 2m(do lam.18mm) biały błyszczący</v>
      </c>
      <c r="G490" s="434"/>
      <c r="H490" s="434">
        <v>2000</v>
      </c>
      <c r="I490" s="434" t="str">
        <f>CONCATENATE(H490,"-",J15)</f>
        <v>2000- biały połysk</v>
      </c>
      <c r="Z490" s="1" t="b">
        <f t="shared" si="9"/>
        <v>1</v>
      </c>
    </row>
    <row r="491" spans="1:26" ht="15" customHeight="1" x14ac:dyDescent="0.3">
      <c r="A491" s="434">
        <v>394265</v>
      </c>
      <c r="B491" s="434"/>
      <c r="C491" s="434" t="str">
        <f>CONCATENATE(H491,"-",J15)</f>
        <v>3000- biały połysk</v>
      </c>
      <c r="D491" s="434">
        <v>394265</v>
      </c>
      <c r="E491" s="432" t="str">
        <f>+VLOOKUP(A491,cennik!A:G,2,FALSE)</f>
        <v>SEVROLL maskownica dolna Simple/Blue 3m (do płyty laminowanej 18mm) biały połysk</v>
      </c>
      <c r="F491" s="432" t="str">
        <f>+VLOOKUP(A491,cennik!A:B,2,FALSE)</f>
        <v>SEVROLL maskownica dolna Simple/Blue 3m (do płyty laminowanej 18mm) biały połysk</v>
      </c>
      <c r="G491" s="434"/>
      <c r="H491" s="434">
        <v>3000</v>
      </c>
      <c r="I491" s="434" t="str">
        <f>CONCATENATE(H491,"-",J15)</f>
        <v>3000- biały połysk</v>
      </c>
      <c r="Z491" s="1" t="b">
        <f t="shared" si="9"/>
        <v>1</v>
      </c>
    </row>
    <row r="492" spans="1:26" ht="15" customHeight="1" x14ac:dyDescent="0.3">
      <c r="A492" s="49">
        <v>224141</v>
      </c>
      <c r="B492" s="163"/>
      <c r="C492" s="1" t="str">
        <f>CONCATENATE(H492,"-",J6)</f>
        <v>1500-j.brąz</v>
      </c>
      <c r="D492" s="49">
        <v>224141</v>
      </c>
      <c r="E492" s="48" t="str">
        <f>+VLOOKUP(A492,cennik!A:G,2,FALSE)</f>
        <v>SEVROLL maskownica dolna Simple/Blue 2m (do płyty laminowanej 18mm) jasny brąz</v>
      </c>
      <c r="F492" s="48" t="str">
        <f>+VLOOKUP(A492,cennik!A:B,2,FALSE)</f>
        <v>SEVROLL maskownica dolna Simple/Blue 2m (do płyty laminowanej 18mm) jasny brąz</v>
      </c>
      <c r="H492" s="1">
        <v>1500</v>
      </c>
      <c r="I492" s="1" t="str">
        <f>CONCATENATE(H492,"-",J6)</f>
        <v>1500-j.brąz</v>
      </c>
      <c r="Z492" s="1" t="b">
        <f t="shared" si="9"/>
        <v>1</v>
      </c>
    </row>
    <row r="493" spans="1:26" s="425" customFormat="1" ht="15" customHeight="1" x14ac:dyDescent="0.3">
      <c r="A493" s="49">
        <v>224141</v>
      </c>
      <c r="B493" s="163"/>
      <c r="C493" s="1" t="str">
        <f>CONCATENATE(H493,"-",J6)</f>
        <v>2000-j.brąz</v>
      </c>
      <c r="D493" s="49">
        <v>224141</v>
      </c>
      <c r="E493" s="48" t="str">
        <f>+VLOOKUP(A493,cennik!A:G,2,FALSE)</f>
        <v>SEVROLL maskownica dolna Simple/Blue 2m (do płyty laminowanej 18mm) jasny brąz</v>
      </c>
      <c r="F493" s="48" t="str">
        <f>+VLOOKUP(A493,cennik!A:B,2,FALSE)</f>
        <v>SEVROLL maskownica dolna Simple/Blue 2m (do płyty laminowanej 18mm) jasny brąz</v>
      </c>
      <c r="G493" s="1"/>
      <c r="H493" s="1">
        <v>2000</v>
      </c>
      <c r="I493" s="1" t="str">
        <f>CONCATENATE(H493,"-",J6)</f>
        <v>2000-j.brąz</v>
      </c>
      <c r="Z493" s="1" t="b">
        <f t="shared" si="9"/>
        <v>1</v>
      </c>
    </row>
    <row r="494" spans="1:26" s="425" customFormat="1" ht="15" customHeight="1" x14ac:dyDescent="0.3">
      <c r="A494" s="49">
        <v>223562</v>
      </c>
      <c r="B494" s="163"/>
      <c r="C494" s="1" t="str">
        <f>CONCATENATE(H494,"-",J6)</f>
        <v>3000-j.brąz</v>
      </c>
      <c r="D494" s="49">
        <v>223562</v>
      </c>
      <c r="E494" s="48" t="str">
        <f>+VLOOKUP(A494,cennik!A:G,2,FALSE)</f>
        <v>SEVROLL maskownica dolna Simple/Blue 3m (do płyty laminowanej 18mm) jasny brąz</v>
      </c>
      <c r="F494" s="48" t="str">
        <f>+VLOOKUP(A494,cennik!A:B,2,FALSE)</f>
        <v>SEVROLL maskownica dolna Simple/Blue 3m (do płyty laminowanej 18mm) jasny brąz</v>
      </c>
      <c r="G494" s="1"/>
      <c r="H494" s="1">
        <v>3000</v>
      </c>
      <c r="I494" s="1" t="str">
        <f>CONCATENATE(H494,"-",J6)</f>
        <v>3000-j.brąz</v>
      </c>
      <c r="Z494" s="1" t="b">
        <f t="shared" si="9"/>
        <v>1</v>
      </c>
    </row>
    <row r="495" spans="1:26" s="425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3">
      <c r="A496" s="428">
        <v>89236</v>
      </c>
      <c r="B496" s="426" t="s">
        <v>29</v>
      </c>
      <c r="C496" s="425" t="str">
        <f t="shared" ref="C496:C501" si="10">J4</f>
        <v>srebrny</v>
      </c>
      <c r="D496" s="428">
        <v>89236</v>
      </c>
      <c r="E496" s="426" t="str">
        <f>+VLOOKUP(A496,cennik!A:G,2,FALSE)</f>
        <v>SEVROLL listwa łącząca H10 3m srebrna</v>
      </c>
      <c r="F496" s="426" t="str">
        <f>+VLOOKUP(A496,cennik!A:B,2,FALSE)</f>
        <v>SEVROLL listwa łącząca H10 3m srebrna</v>
      </c>
      <c r="G496" s="425" t="e">
        <f>+VLOOKUP(A496,#REF!,4,FALSE)</f>
        <v>#REF!</v>
      </c>
      <c r="I496" s="425" t="str">
        <f t="shared" ref="I496:I501" si="11">J4</f>
        <v>srebrny</v>
      </c>
      <c r="Z496" s="1" t="b">
        <f t="shared" si="9"/>
        <v>1</v>
      </c>
    </row>
    <row r="497" spans="1:26" s="425" customFormat="1" ht="15" customHeight="1" x14ac:dyDescent="0.3">
      <c r="A497" s="428">
        <v>542870</v>
      </c>
      <c r="B497" s="426"/>
      <c r="C497" s="425" t="str">
        <f t="shared" si="10"/>
        <v>złoty/mosiądz</v>
      </c>
      <c r="D497" s="428">
        <v>542870</v>
      </c>
      <c r="E497" s="426" t="str">
        <f>+VLOOKUP(A497,cennik!A:G,2,FALSE)</f>
        <v>SEVROLL 06793 listwa łącząca H10 3m złoty/mosiądz</v>
      </c>
      <c r="F497" s="426" t="str">
        <f>+VLOOKUP(A497,cennik!A:B,2,FALSE)</f>
        <v>SEVROLL 06793 listwa łącząca H10 3m złoty/mosiądz</v>
      </c>
      <c r="G497" s="425" t="e">
        <f>+VLOOKUP(A497,#REF!,4,FALSE)</f>
        <v>#REF!</v>
      </c>
      <c r="I497" s="425" t="str">
        <f t="shared" si="11"/>
        <v>złoty/mosiądz</v>
      </c>
      <c r="Z497" s="1" t="b">
        <f t="shared" si="9"/>
        <v>1</v>
      </c>
    </row>
    <row r="498" spans="1:26" s="425" customFormat="1" ht="15" customHeight="1" x14ac:dyDescent="0.3">
      <c r="A498" s="428">
        <v>89237</v>
      </c>
      <c r="B498" s="426"/>
      <c r="C498" s="425" t="str">
        <f t="shared" si="10"/>
        <v>j.brąz</v>
      </c>
      <c r="D498" s="428">
        <v>89237</v>
      </c>
      <c r="E498" s="426" t="str">
        <f>+VLOOKUP(A498,cennik!A:G,2,FALSE)</f>
        <v>SEVROLL listwa łącząca H10 3m jasny brąz</v>
      </c>
      <c r="F498" s="426" t="str">
        <f>+VLOOKUP(A498,cennik!A:B,2,FALSE)</f>
        <v>SEVROLL listwa łącząca H10 3m jasny brąz</v>
      </c>
      <c r="G498" s="425" t="e">
        <f>+VLOOKUP(A498,#REF!,4,FALSE)</f>
        <v>#REF!</v>
      </c>
      <c r="I498" s="425" t="str">
        <f t="shared" si="11"/>
        <v>j.brąz</v>
      </c>
      <c r="Z498" s="1" t="b">
        <f t="shared" si="9"/>
        <v>1</v>
      </c>
    </row>
    <row r="499" spans="1:26" s="425" customFormat="1" ht="15" customHeight="1" x14ac:dyDescent="0.3">
      <c r="A499" s="428">
        <v>121028</v>
      </c>
      <c r="B499" s="426"/>
      <c r="C499" s="425" t="str">
        <f t="shared" si="10"/>
        <v>j.brąz szczotkowany</v>
      </c>
      <c r="D499" s="428">
        <v>121028</v>
      </c>
      <c r="E499" s="426" t="str">
        <f>+VLOOKUP(A499,cennik!A:G,2,FALSE)</f>
        <v>SEVROLL 02493-Y Listwa łącząca H10 3m jasny brąz szczotkowany</v>
      </c>
      <c r="F499" s="426" t="str">
        <f>+VLOOKUP(A499,cennik!A:B,2,FALSE)</f>
        <v>SEVROLL 02493-Y Listwa łącząca H10 3m jasny brąz szczotkowany</v>
      </c>
      <c r="I499" s="425" t="str">
        <f t="shared" si="11"/>
        <v>j.brąz szczotkowany</v>
      </c>
      <c r="Z499" s="1" t="b">
        <f t="shared" si="9"/>
        <v>1</v>
      </c>
    </row>
    <row r="500" spans="1:26" s="425" customFormat="1" ht="15" customHeight="1" x14ac:dyDescent="0.3">
      <c r="A500" s="428">
        <v>205160</v>
      </c>
      <c r="B500" s="426"/>
      <c r="C500" s="425" t="str">
        <f t="shared" si="10"/>
        <v>szczot.oliwa ciemna</v>
      </c>
      <c r="D500" s="428">
        <v>205160</v>
      </c>
      <c r="E500" s="426" t="str">
        <f>+VLOOKUP(A500,cennik!A:G,2,FALSE)</f>
        <v>SEVROLL listwa łącząca H10 3 m oliwka ciemna szczotkowana</v>
      </c>
      <c r="F500" s="426" t="str">
        <f>+VLOOKUP(A500,cennik!A:B,2,FALSE)</f>
        <v>SEVROLL listwa łącząca H10 3 m oliwka ciemna szczotkowana</v>
      </c>
      <c r="I500" s="425" t="str">
        <f t="shared" si="11"/>
        <v>szczot.oliwa ciemna</v>
      </c>
      <c r="Z500" s="1" t="b">
        <f t="shared" si="9"/>
        <v>1</v>
      </c>
    </row>
    <row r="501" spans="1:26" s="425" customFormat="1" ht="15" customHeight="1" x14ac:dyDescent="0.3">
      <c r="A501" s="428">
        <v>205161</v>
      </c>
      <c r="B501" s="426"/>
      <c r="C501" s="425" t="str">
        <f t="shared" si="10"/>
        <v>szczot.czarna</v>
      </c>
      <c r="D501" s="428">
        <v>205161</v>
      </c>
      <c r="E501" s="426" t="str">
        <f>+VLOOKUP(A501,cennik!A:G,2,FALSE)</f>
        <v>SEVROLL listwa łącząca H10 3m czarna szczotkowana</v>
      </c>
      <c r="F501" s="426" t="str">
        <f>+VLOOKUP(A501,cennik!A:B,2,FALSE)</f>
        <v>SEVROLL listwa łącząca H10 3m czarna szczotkowana</v>
      </c>
      <c r="I501" s="425" t="str">
        <f t="shared" si="11"/>
        <v>szczot.czarna</v>
      </c>
      <c r="Z501" s="1" t="b">
        <f t="shared" si="9"/>
        <v>1</v>
      </c>
    </row>
    <row r="502" spans="1:26" ht="15" customHeight="1" x14ac:dyDescent="0.3">
      <c r="A502" s="428">
        <v>276739</v>
      </c>
      <c r="B502" s="426"/>
      <c r="C502" s="425" t="str">
        <f>J15</f>
        <v> biały połysk</v>
      </c>
      <c r="D502" s="428">
        <v>276739</v>
      </c>
      <c r="E502" s="426" t="str">
        <f>+VLOOKUP(A502,cennik!A:G,2,FALSE)</f>
        <v>SEVROLL listwa łącząca H10 3m biały połysk</v>
      </c>
      <c r="F502" s="426" t="str">
        <f>+VLOOKUP(A502,cennik!A:B,2,FALSE)</f>
        <v>SEVROLL listwa łącząca H10 3m biały połysk</v>
      </c>
      <c r="G502" s="425"/>
      <c r="H502" s="425"/>
      <c r="I502" s="425" t="str">
        <f>J15</f>
        <v> biały połysk</v>
      </c>
      <c r="Z502" s="1" t="b">
        <f t="shared" si="9"/>
        <v>1</v>
      </c>
    </row>
    <row r="503" spans="1:26" ht="15" customHeight="1" x14ac:dyDescent="0.3">
      <c r="A503" s="427">
        <v>497953</v>
      </c>
      <c r="B503" s="425"/>
      <c r="C503" s="425" t="str">
        <f>J18</f>
        <v>biały mat</v>
      </c>
      <c r="D503" s="427">
        <v>497953</v>
      </c>
      <c r="E503" s="426" t="str">
        <f>+VLOOKUP(A503,cennik!A:G,2,FALSE)</f>
        <v>SEVROLL 05181 listwa łącząca H10 3m biały mat</v>
      </c>
      <c r="F503" s="426" t="str">
        <f>+VLOOKUP(A503,cennik!A:B,2,FALSE)</f>
        <v>SEVROLL 05181 listwa łącząca H10 3m biały mat</v>
      </c>
      <c r="G503" s="425"/>
      <c r="H503" s="425"/>
      <c r="I503" s="425" t="str">
        <f>J18</f>
        <v>biały mat</v>
      </c>
    </row>
    <row r="504" spans="1:26" ht="15" customHeight="1" x14ac:dyDescent="0.3">
      <c r="A504" s="427">
        <v>395508</v>
      </c>
      <c r="B504" s="425"/>
      <c r="C504" s="425" t="str">
        <f>J16</f>
        <v>czarny połysk</v>
      </c>
      <c r="D504" s="427">
        <v>395508</v>
      </c>
      <c r="E504" s="426" t="str">
        <f>+VLOOKUP(A504,cennik!A:G,2,FALSE)</f>
        <v>SEVROLL listwa łącząca H10 3m czarny połysk</v>
      </c>
      <c r="F504" s="426" t="str">
        <f>+VLOOKUP(A504,cennik!A:B,2,FALSE)</f>
        <v>SEVROLL listwa łącząca H10 3m czarny połysk</v>
      </c>
      <c r="G504" s="426" t="e">
        <f>+VLOOKUP(C504,cennik!A:G,2,FALSE)</f>
        <v>#N/A</v>
      </c>
      <c r="H504" s="425"/>
      <c r="I504" s="425" t="str">
        <f>J16</f>
        <v>czarny połysk</v>
      </c>
      <c r="Z504" s="1" t="b">
        <f t="shared" si="9"/>
        <v>1</v>
      </c>
    </row>
    <row r="505" spans="1:26" ht="15" customHeight="1" x14ac:dyDescent="0.3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listwa łącząca H10 3m grafit</v>
      </c>
      <c r="F505" s="426" t="str">
        <f>+VLOOKUP(A505,cennik!A:B,2,FALSE)</f>
        <v>SEVROLL 05971 listwa łącząca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3">
      <c r="A506" s="427">
        <v>452761</v>
      </c>
      <c r="B506" s="425"/>
      <c r="C506" s="425" t="str">
        <f>J17</f>
        <v> czarny mat</v>
      </c>
      <c r="D506" s="427">
        <v>452761</v>
      </c>
      <c r="E506" s="426" t="str">
        <f>+VLOOKUP(A506,cennik!A:G,2,FALSE)</f>
        <v>SEVROLL listwa łącząca H10 3m czarny mat</v>
      </c>
      <c r="F506" s="426" t="str">
        <f>+VLOOKUP(A506,cennik!A:B,2,FALSE)</f>
        <v>SEVROLL listwa łącząca H10 3m czarny mat</v>
      </c>
      <c r="G506" s="425"/>
      <c r="H506" s="425"/>
      <c r="I506" s="425" t="str">
        <f>J17</f>
        <v> czarny mat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25"/>
      <c r="C507" s="425" t="str">
        <f>J22</f>
        <v>czarny lakier strukturalny</v>
      </c>
      <c r="D507" s="196">
        <v>526501</v>
      </c>
      <c r="E507" s="426" t="str">
        <f>+VLOOKUP(A507,cennik!A:G,2,FALSE)</f>
        <v>SEVROLL 06125 listwa łącząca H10 3m czarny lakier strukturalny</v>
      </c>
      <c r="F507" s="426" t="str">
        <f>+VLOOKUP(A507,cennik!A:B,2,FALSE)</f>
        <v>SEVROLL 06125 listwa łącząca H10 3m czarny lakier strukturalny</v>
      </c>
      <c r="G507" s="425"/>
      <c r="H507" s="425"/>
      <c r="I507" s="425" t="str">
        <f>J22</f>
        <v>czarny lakier strukturalny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srebrny</v>
      </c>
      <c r="D508" s="49">
        <v>89069</v>
      </c>
      <c r="E508" s="48" t="str">
        <f>+VLOOKUP(A508,cennik!A:G,2,FALSE)</f>
        <v>SEVROLL 00222 spojovací lišta H30 3m stříbrná</v>
      </c>
      <c r="F508" s="48" t="str">
        <f>+VLOOKUP(A508,cennik!A:B,2,FALSE)</f>
        <v>SEVROLL 00222 spojovací lišta H30 3m stříbrná</v>
      </c>
      <c r="G508" s="1" t="e">
        <f>+VLOOKUP(A508,#REF!,4,FALSE)</f>
        <v>#REF!</v>
      </c>
      <c r="I508" s="1" t="str">
        <f t="shared" ref="I508:I513" si="14">J4</f>
        <v>srebrny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złoty/mosiądz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złoty/mosiądz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j.brąz</v>
      </c>
      <c r="D510" s="49">
        <v>89071</v>
      </c>
      <c r="E510" s="48" t="str">
        <f>+VLOOKUP(A510,cennik!A:G,2,FALSE)</f>
        <v>SEVROLL 00219 spojovací lišta H30 3m oliva</v>
      </c>
      <c r="F510" s="48" t="str">
        <f>+VLOOKUP(A510,cennik!A:B,2,FALSE)</f>
        <v>SEVROLL 00219 spojovací lišta H30 3m oliva</v>
      </c>
      <c r="G510" s="1" t="e">
        <f>+VLOOKUP(A510,#REF!,4,FALSE)</f>
        <v>#REF!</v>
      </c>
      <c r="I510" s="1" t="str">
        <f t="shared" si="14"/>
        <v>j.brąz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j.brąz szczotkowany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j.brąz szczotkowany</v>
      </c>
      <c r="Z511" s="1" t="b">
        <f t="shared" si="12"/>
        <v>1</v>
      </c>
    </row>
    <row r="512" spans="1:26" s="425" customFormat="1" ht="15" customHeight="1" x14ac:dyDescent="0.3">
      <c r="A512" s="49" t="s">
        <v>111</v>
      </c>
      <c r="B512" s="48"/>
      <c r="C512" s="1" t="str">
        <f t="shared" si="13"/>
        <v>szczot.oliwa ciemna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szczot.oliwa ciemna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szczot.czarna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szczot.czarna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 biały połysk</v>
      </c>
      <c r="D514" s="49">
        <v>308627</v>
      </c>
      <c r="E514" s="48" t="str">
        <f>+VLOOKUP(A514,cennik!A:G,2,FALSE)</f>
        <v>SEVROLL listwa łącząca H30 3m biały połysk</v>
      </c>
      <c r="F514" s="48" t="str">
        <f>+VLOOKUP(A514,cennik!A:B,2,FALSE)</f>
        <v>SEVROLL listwa łącząca H30 3m biały połysk</v>
      </c>
      <c r="I514" s="1" t="str">
        <f>J15</f>
        <v> biały połysk</v>
      </c>
      <c r="Z514" s="1" t="b">
        <f t="shared" si="12"/>
        <v>1</v>
      </c>
    </row>
    <row r="515" spans="1:26" ht="15" customHeight="1" x14ac:dyDescent="0.3">
      <c r="A515" s="425">
        <v>452604</v>
      </c>
      <c r="B515" s="425"/>
      <c r="C515" s="425" t="str">
        <f>J17</f>
        <v> czarny mat</v>
      </c>
      <c r="D515" s="425">
        <v>452604</v>
      </c>
      <c r="E515" s="426" t="str">
        <f>+VLOOKUP(A515,cennik!A:G,2,FALSE)</f>
        <v>SEVROLL listwa łącząca H30 3m czarny mat</v>
      </c>
      <c r="F515" s="426" t="str">
        <f>+VLOOKUP(A515,cennik!A:B,2,FALSE)</f>
        <v>SEVROLL listwa łącząca H30 3m czarny mat</v>
      </c>
      <c r="G515" s="425"/>
      <c r="H515" s="425"/>
      <c r="I515" s="425" t="str">
        <f>J17</f>
        <v> czarny mat</v>
      </c>
      <c r="Z515" s="1" t="b">
        <f t="shared" si="12"/>
        <v>1</v>
      </c>
    </row>
    <row r="516" spans="1:26" s="434" customFormat="1" ht="15" customHeight="1" x14ac:dyDescent="0.3">
      <c r="A516" s="49" t="s">
        <v>111</v>
      </c>
      <c r="B516" s="48"/>
      <c r="C516" s="425" t="str">
        <f>J16</f>
        <v>czarny połysk</v>
      </c>
      <c r="D516" s="49" t="s">
        <v>111</v>
      </c>
      <c r="E516" s="48"/>
      <c r="F516" s="48"/>
      <c r="G516" s="1"/>
      <c r="H516" s="1"/>
      <c r="I516" s="425" t="str">
        <f>J16</f>
        <v>czarny połysk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srebrny</v>
      </c>
      <c r="D517" s="49">
        <v>336796</v>
      </c>
      <c r="E517" s="48" t="str">
        <f>+VLOOKUP(A517,cennik!A:G,2,FALSE)</f>
        <v>SEVROLL listwa łącząca Simple/Blue H21 3m (do płyty laminowanej 18mm) srebrny</v>
      </c>
      <c r="F517" s="48" t="str">
        <f>+VLOOKUP(A517,cennik!A:B,2,FALSE)</f>
        <v>SEVROLL listwa łącząca Simple/Blue H21 3m (do płyty laminowanej 18mm) srebrny</v>
      </c>
      <c r="I517" s="1" t="str">
        <f>J4</f>
        <v>srebrny</v>
      </c>
      <c r="Z517" s="1" t="b">
        <f t="shared" si="12"/>
        <v>1</v>
      </c>
    </row>
    <row r="518" spans="1:26" ht="15" customHeight="1" x14ac:dyDescent="0.3">
      <c r="A518" s="2">
        <v>488239</v>
      </c>
      <c r="B518" s="444"/>
      <c r="C518" s="1" t="str">
        <f>J17</f>
        <v> czarny mat</v>
      </c>
      <c r="D518" s="2">
        <v>488239</v>
      </c>
      <c r="E518" s="48" t="str">
        <f>+VLOOKUP(A518,cennik!A:G,2,FALSE)</f>
        <v>SEVROLL 05746 listwa łącząca Simple/Blue H21 3m (do płyty 18mm) czarny mat</v>
      </c>
      <c r="F518" s="48" t="str">
        <f>+VLOOKUP(A518,cennik!A:B,2,FALSE)</f>
        <v>SEVROLL 05746 listwa łącząca Simple/Blue H21 3m (do płyty 18mm) czarny mat</v>
      </c>
      <c r="I518" s="1" t="str">
        <f>J17</f>
        <v> czarny mat</v>
      </c>
      <c r="Z518" s="1" t="b">
        <f t="shared" si="12"/>
        <v>1</v>
      </c>
    </row>
    <row r="519" spans="1:26" ht="15" customHeight="1" x14ac:dyDescent="0.3">
      <c r="A519" s="434">
        <v>394273</v>
      </c>
      <c r="B519" s="434"/>
      <c r="C519" s="434" t="str">
        <f>J15</f>
        <v> biały połysk</v>
      </c>
      <c r="D519" s="434">
        <v>394273</v>
      </c>
      <c r="E519" s="432" t="str">
        <f>+VLOOKUP(A519,cennik!A:G,2,FALSE)</f>
        <v>SEVROLL listwa łącząca Simple/Blue H21 3m (do płyty laminowanej 18mm) biały poły</v>
      </c>
      <c r="F519" s="432" t="str">
        <f>+VLOOKUP(A519,cennik!A:B,2,FALSE)</f>
        <v>SEVROLL listwa łącząca Simple/Blue H21 3m (do płyty laminowanej 18mm) biały poły</v>
      </c>
      <c r="G519" s="434"/>
      <c r="H519" s="434"/>
      <c r="I519" s="434" t="str">
        <f>J15</f>
        <v> biały połysk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j.brąz</v>
      </c>
      <c r="D520" s="49">
        <v>224158</v>
      </c>
      <c r="E520" s="48" t="str">
        <f>+VLOOKUP(A520,cennik!A:G,2,FALSE)</f>
        <v>SEVROLL listwa łącząca Simple/Blue H21 3m (do płyty laminowanej 18mm) jasny brąz</v>
      </c>
      <c r="F520" s="48" t="str">
        <f>+VLOOKUP(A520,cennik!A:B,2,FALSE)</f>
        <v>SEVROLL listwa łącząca Simple/Blue H21 3m (do płyty laminowanej 18mm) jasny brąz</v>
      </c>
      <c r="I520" s="1" t="str">
        <f>J6</f>
        <v>j.brąz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srebrny</v>
      </c>
      <c r="D521" s="49">
        <v>328825</v>
      </c>
      <c r="E521" s="48" t="str">
        <f>+VLOOKUP(A521,cennik!A:G,2,FALSE)</f>
        <v>SEVROLL listwa łącząca Simple/Blue H28 3m (do płyty laminowanej 18mm) srebrny</v>
      </c>
      <c r="F521" s="48" t="str">
        <f>+VLOOKUP(A521,cennik!A:B,2,FALSE)</f>
        <v>SEVROLL listwa łącząca Simple/Blue H28 3m (do płyty laminowanej 18mm) srebrny</v>
      </c>
      <c r="I521" s="1" t="str">
        <f>J4</f>
        <v>srebrny</v>
      </c>
      <c r="Z521" s="1" t="b">
        <f t="shared" si="12"/>
        <v>1</v>
      </c>
    </row>
    <row r="522" spans="1:26" ht="15" customHeight="1" x14ac:dyDescent="0.3">
      <c r="A522" s="434">
        <v>394281</v>
      </c>
      <c r="B522" s="434"/>
      <c r="C522" s="434" t="str">
        <f>J15</f>
        <v> biały połysk</v>
      </c>
      <c r="D522" s="434">
        <v>394281</v>
      </c>
      <c r="E522" s="432" t="str">
        <f>+VLOOKUP(A522,cennik!A:G,2,FALSE)</f>
        <v>SEVROLL listwa łącząca Simple/Blue H28 3m (do płyty laminowanej 18mm) biały poły</v>
      </c>
      <c r="F522" s="432" t="str">
        <f>+VLOOKUP(A522,cennik!A:B,2,FALSE)</f>
        <v>SEVROLL listwa łącząca Simple/Blue H28 3m (do płyty laminowanej 18mm) biały poły</v>
      </c>
      <c r="G522" s="434"/>
      <c r="H522" s="434"/>
      <c r="I522" s="434" t="str">
        <f>J15</f>
        <v> biały połysk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j.brąz</v>
      </c>
      <c r="D523" s="49">
        <v>223560</v>
      </c>
      <c r="E523" s="48" t="str">
        <f>+VLOOKUP(A523,cennik!A:G,2,FALSE)</f>
        <v>SEVROLL listwa łącząca Simple/Blue H28 3m (do płyty laminowanej 18mm) jasny brąz</v>
      </c>
      <c r="F523" s="48" t="str">
        <f>+VLOOKUP(A523,cennik!A:B,2,FALSE)</f>
        <v>SEVROLL listwa łącząca Simple/Blue H28 3m (do płyty laminowanej 18mm) jasny brąz</v>
      </c>
      <c r="I523" s="1" t="str">
        <f>J6</f>
        <v>j.brąz</v>
      </c>
      <c r="Z523" s="1" t="b">
        <f t="shared" si="12"/>
        <v>1</v>
      </c>
    </row>
    <row r="524" spans="1:26" ht="15" customHeight="1" x14ac:dyDescent="0.3">
      <c r="A524" s="446" t="s">
        <v>111</v>
      </c>
      <c r="B524" s="48"/>
      <c r="C524" s="1" t="str">
        <f>J17</f>
        <v> czarny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srebrny</v>
      </c>
      <c r="D525" s="49">
        <v>98070</v>
      </c>
      <c r="E525" s="48" t="str">
        <f>+VLOOKUP(A525,cennik!A:G,2,FALSE)</f>
        <v>SEVROLL Gemini-2 rączka 2,7m srebrny</v>
      </c>
      <c r="F525" s="48" t="str">
        <f>+VLOOKUP(A525,cennik!A:B,2,FALSE)</f>
        <v>SEVROLL Gemini-2 rączka 2,7m srebrny</v>
      </c>
      <c r="G525" s="1" t="e">
        <f>+VLOOKUP(A525,#REF!,4,FALSE)</f>
        <v>#REF!</v>
      </c>
      <c r="I525" s="1" t="str">
        <f>J4</f>
        <v>srebrny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 czarny mat</v>
      </c>
      <c r="D526" s="49">
        <v>278164</v>
      </c>
      <c r="E526" s="48" t="str">
        <f>+VLOOKUP(A526,cennik!A:G,2,FALSE)</f>
        <v>SEVROLL Gemini rączka 2,7m czarny mat</v>
      </c>
      <c r="F526" s="48" t="str">
        <f>+VLOOKUP(A526,cennik!A:B,2,FALSE)</f>
        <v>SEVROLL Gemini rączka 2,7m czarny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j.brąz</v>
      </c>
      <c r="D527" s="49">
        <v>98071</v>
      </c>
      <c r="E527" s="48" t="str">
        <f>+VLOOKUP(A527,cennik!A:G,2,FALSE)</f>
        <v>SEVROLL Gemini-2 rączka 2,7m jasny brąz</v>
      </c>
      <c r="F527" s="48" t="str">
        <f>+VLOOKUP(A527,cennik!A:B,2,FALSE)</f>
        <v>SEVROLL Gemini-2 rączka 2,7m jasny brąz</v>
      </c>
      <c r="G527" s="1" t="e">
        <f>+VLOOKUP(A527,#REF!,4,FALSE)</f>
        <v>#REF!</v>
      </c>
      <c r="I527" s="1" t="str">
        <f>J6</f>
        <v>j.brąz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srebrny</v>
      </c>
      <c r="D528" s="48">
        <v>394690</v>
      </c>
      <c r="E528" s="48" t="str">
        <f>+VLOOKUP(A528,cennik!A:G,2,FALSE)</f>
        <v>SEVROLL 04920 Lynx Rączka 2,7m srebrna</v>
      </c>
      <c r="F528" s="48" t="str">
        <f>+VLOOKUP(A528,cennik!A:B,2,FALSE)</f>
        <v>SEVROLL 04920 Lynx Rączka 2,7m srebrna</v>
      </c>
      <c r="I528" s="1" t="str">
        <f>J4</f>
        <v>srebrny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j.brąz</v>
      </c>
      <c r="D529" s="48">
        <v>394691</v>
      </c>
      <c r="E529" s="48" t="str">
        <f>+VLOOKUP(A529,cennik!A:G,2,FALSE)</f>
        <v>SEVROLL Rączka Lynx 2,7m oliwka</v>
      </c>
      <c r="F529" s="48" t="str">
        <f>+VLOOKUP(A529,cennik!A:B,2,FALSE)</f>
        <v>SEVROLL Rączka Lynx 2,7m oliwka</v>
      </c>
      <c r="I529" s="1" t="str">
        <f>J6</f>
        <v>j.brąz</v>
      </c>
      <c r="Z529" s="1" t="b">
        <f t="shared" si="12"/>
        <v>1</v>
      </c>
    </row>
    <row r="530" spans="1:26" ht="15" customHeight="1" x14ac:dyDescent="0.3">
      <c r="A530" s="49">
        <v>542873</v>
      </c>
      <c r="B530" s="48"/>
      <c r="C530" s="1" t="str">
        <f>J5</f>
        <v>złoty/mosiądz</v>
      </c>
      <c r="D530" s="49">
        <v>542873</v>
      </c>
      <c r="E530" s="48" t="str">
        <f>+VLOOKUP(A530,cennik!A:G,2,FALSE)</f>
        <v>SEVROLL 06822 Gemini rączka 2,7m złoty/mosiądz</v>
      </c>
      <c r="F530" s="48" t="str">
        <f>+VLOOKUP(A530,cennik!A:B,2,FALSE)</f>
        <v>SEVROLL 06822 Gemini rączka 2,7m złoty/mosiądz</v>
      </c>
      <c r="G530" s="1" t="e">
        <f>+VLOOKUP(A530,#REF!,4,FALSE)</f>
        <v>#REF!</v>
      </c>
      <c r="I530" s="1" t="str">
        <f>J5</f>
        <v>złoty/mosiądz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czarny lakier strukturalny</v>
      </c>
      <c r="D531" s="196">
        <v>525015</v>
      </c>
      <c r="E531" s="48" t="str">
        <f>+VLOOKUP(A531,cennik!A:G,2,FALSE)</f>
        <v>SEVROLL 06370 Gemini rączka 2,7m czarny lakier strukturalny</v>
      </c>
      <c r="F531" s="48" t="str">
        <f>+VLOOKUP(A531,cennik!A:B,2,FALSE)</f>
        <v>SEVROLL 06370 Gemini rączka 2,7m czarny lakier strukturalny</v>
      </c>
      <c r="G531" s="1" t="e">
        <f>+VLOOKUP(A531,#REF!,4,FALSE)</f>
        <v>#REF!</v>
      </c>
      <c r="I531" s="1" t="str">
        <f>J22</f>
        <v>czarny lakier strukturalny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srebrny</v>
      </c>
      <c r="D532" s="49">
        <v>135366</v>
      </c>
      <c r="E532" s="48" t="str">
        <f>+VLOOKUP(A532,cennik!A:G,2,FALSE)</f>
        <v>SEVROLL Romeo II rączka 2,7m srebrna</v>
      </c>
      <c r="F532" s="48" t="str">
        <f>+VLOOKUP(A532,cennik!A:B,2,FALSE)</f>
        <v>SEVROLL Romeo II rączka 2,7m srebrna</v>
      </c>
      <c r="G532" s="1" t="e">
        <f>+VLOOKUP(A532,#REF!,4,FALSE)</f>
        <v>#REF!</v>
      </c>
      <c r="I532" s="1" t="str">
        <f>J4</f>
        <v>srebrny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j.brąz</v>
      </c>
      <c r="D533" s="49">
        <v>135365</v>
      </c>
      <c r="E533" s="48" t="str">
        <f>+VLOOKUP(A533,cennik!A:G,2,FALSE)</f>
        <v>SEVROLL Romeo II rączka 2,7m jasny brąz</v>
      </c>
      <c r="F533" s="48" t="str">
        <f>+VLOOKUP(A533,cennik!A:B,2,FALSE)</f>
        <v>SEVROLL Romeo II rączka 2,7m jasny brąz</v>
      </c>
      <c r="G533" s="1" t="e">
        <f>+VLOOKUP(A533,#REF!,4,FALSE)</f>
        <v>#REF!</v>
      </c>
      <c r="I533" s="1" t="str">
        <f>J6</f>
        <v>j.brąz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srebrny</v>
      </c>
      <c r="D535" s="49">
        <v>135344</v>
      </c>
      <c r="E535" s="48" t="str">
        <f>+VLOOKUP(A535,cennik!A:G,2,FALSE)</f>
        <v>SEVROLL 02713 Julia II rączka 2,7m srebrna</v>
      </c>
      <c r="F535" s="48" t="str">
        <f>+VLOOKUP(A535,cennik!A:B,2,FALSE)</f>
        <v>SEVROLL 02713 Julia II rączka 2,7m srebrna</v>
      </c>
      <c r="G535" s="1" t="e">
        <f>+VLOOKUP(A535,#REF!,4,FALSE)</f>
        <v>#REF!</v>
      </c>
      <c r="I535" s="1" t="str">
        <f>J4</f>
        <v>srebrny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j.brąz</v>
      </c>
      <c r="D536" s="49">
        <v>135342</v>
      </c>
      <c r="E536" s="48" t="str">
        <f>+VLOOKUP(A536,cennik!A:G,2,FALSE)</f>
        <v>SEVROLL 02711 Julia II rączka 2,7m Oliwka</v>
      </c>
      <c r="F536" s="48" t="str">
        <f>+VLOOKUP(A536,cennik!A:B,2,FALSE)</f>
        <v>SEVROLL 02711 Julia II rączka 2,7m Oliwka</v>
      </c>
      <c r="G536" s="1" t="e">
        <f>+VLOOKUP(A536,#REF!,4,FALSE)</f>
        <v>#REF!</v>
      </c>
      <c r="I536" s="1" t="str">
        <f>J6</f>
        <v>j.brąz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j.brąz</v>
      </c>
      <c r="D538" s="195">
        <v>223573</v>
      </c>
      <c r="E538" s="48" t="str">
        <f>+VLOOKUP(A538,cennik!A:G,2,FALSE)</f>
        <v>SEVROLL Rączka Karat 2,7 m oliwka</v>
      </c>
      <c r="F538" s="48" t="str">
        <f>+VLOOKUP(A538,cennik!A:B,2,FALSE)</f>
        <v>SEVROLL Rączka Karat 2,7 m oliwka</v>
      </c>
      <c r="I538" s="1" t="str">
        <f>J6</f>
        <v>j.brąz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srebrny</v>
      </c>
      <c r="D539" s="195">
        <v>223572</v>
      </c>
      <c r="E539" s="48" t="str">
        <f>+VLOOKUP(A539,cennik!A:G,2,FALSE)</f>
        <v>SEVROLL Karat rączka 2,7m srebrny</v>
      </c>
      <c r="F539" s="48" t="str">
        <f>+VLOOKUP(A539,cennik!A:B,2,FALSE)</f>
        <v>SEVROLL Karat rączka 2,7m srebrny</v>
      </c>
      <c r="I539" s="1" t="str">
        <f>J4</f>
        <v>srebrny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srebrny</v>
      </c>
      <c r="D542" s="49">
        <v>179229</v>
      </c>
      <c r="E542" s="48" t="str">
        <f>+VLOOKUP(A542,cennik!A:G,2,FALSE)</f>
        <v>SEVROLL 03048 Future II rączka 2,7m srebrna</v>
      </c>
      <c r="F542" s="48" t="str">
        <f>+VLOOKUP(A542,cennik!A:B,2,FALSE)</f>
        <v>SEVROLL 03048 Future II rączka 2,7m srebrna</v>
      </c>
      <c r="G542" s="1" t="e">
        <f>+VLOOKUP(A542,#REF!,4,FALSE)</f>
        <v>#REF!</v>
      </c>
      <c r="I542" s="1" t="str">
        <f>J4</f>
        <v>srebrny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j.brąz</v>
      </c>
      <c r="D543" s="49">
        <v>179230</v>
      </c>
      <c r="E543" s="48" t="str">
        <f>+VLOOKUP(A543,cennik!A:G,2,FALSE)</f>
        <v>SEVROLL Future II rączka 2,7m jasny brąz</v>
      </c>
      <c r="F543" s="48" t="str">
        <f>+VLOOKUP(A543,cennik!A:B,2,FALSE)</f>
        <v>SEVROLL Future II rączka 2,7m jasny brąz</v>
      </c>
      <c r="G543" s="1" t="e">
        <f>+VLOOKUP(A543,#REF!,4,FALSE)</f>
        <v>#REF!</v>
      </c>
      <c r="I543" s="1" t="str">
        <f>J6</f>
        <v>j.brąz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srebrny</v>
      </c>
      <c r="D545" s="58">
        <v>179224</v>
      </c>
      <c r="E545" s="48" t="str">
        <f>+VLOOKUP(A545,cennik!A:G,2,FALSE)</f>
        <v>SEVROLL 03049 Future II rączka 3,5m srebrna</v>
      </c>
      <c r="F545" s="48" t="str">
        <f>+VLOOKUP(A545,cennik!A:B,2,FALSE)</f>
        <v>SEVROLL 03049 Future II rączka 3,5m srebrna</v>
      </c>
      <c r="I545" s="1" t="str">
        <f>J4</f>
        <v>srebrny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j.brąz</v>
      </c>
      <c r="D546" s="58">
        <v>179227</v>
      </c>
      <c r="E546" s="48" t="str">
        <f>+VLOOKUP(A546,cennik!A:G,2,FALSE)</f>
        <v>SEVROLL Future II rączka 3,5m jasny brąz</v>
      </c>
      <c r="F546" s="48" t="str">
        <f>+VLOOKUP(A546,cennik!A:B,2,FALSE)</f>
        <v>SEVROLL Future II rączka 3,5m jasny brąz</v>
      </c>
      <c r="I546" s="1" t="str">
        <f>J6</f>
        <v>j.brąz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srebrny</v>
      </c>
      <c r="D548" s="169">
        <v>100102</v>
      </c>
      <c r="E548" s="48" t="str">
        <f>+VLOOKUP(A548,cennik!A:G,2,FALSE)</f>
        <v>SEVROLL Master rączka 2,7m srebrna</v>
      </c>
      <c r="F548" s="48" t="str">
        <f>+VLOOKUP(A548,cennik!A:B,2,FALSE)</f>
        <v>SEVROLL Master rączka 2,7m srebrna</v>
      </c>
      <c r="I548" s="1" t="str">
        <f>J4</f>
        <v>srebrny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j.brąz</v>
      </c>
      <c r="D549" s="169">
        <v>100103</v>
      </c>
      <c r="E549" s="48" t="str">
        <f>+VLOOKUP(A549,cennik!A:G,2,FALSE)</f>
        <v>SEVROLL Master rączka 2,7m jasny brąz</v>
      </c>
      <c r="F549" s="48" t="str">
        <f>+VLOOKUP(A549,cennik!A:B,2,FALSE)</f>
        <v>SEVROLL Master rączka 2,7m jasny brąz</v>
      </c>
      <c r="I549" s="1" t="str">
        <f>J6</f>
        <v>j.brąz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srebrny</v>
      </c>
      <c r="D550" s="169">
        <v>100105</v>
      </c>
      <c r="E550" s="48" t="str">
        <f>+VLOOKUP(A550,cennik!A:G,2,FALSE)</f>
        <v>SEVROLL 02379 Master rączka 3m srebrna</v>
      </c>
      <c r="F550" s="48" t="str">
        <f>+VLOOKUP(A550,cennik!A:B,2,FALSE)</f>
        <v>SEVROLL 02379 Master rączka 3m srebrna</v>
      </c>
      <c r="I550" s="1" t="str">
        <f>J4</f>
        <v>srebrny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j.brąz</v>
      </c>
      <c r="D551" s="169">
        <v>100106</v>
      </c>
      <c r="E551" s="48" t="str">
        <f>+VLOOKUP(A551,cennik!A:G,2,FALSE)</f>
        <v>SEVROLL Master rączka 3 m jasny brąz</v>
      </c>
      <c r="F551" s="48" t="str">
        <f>+VLOOKUP(A551,cennik!A:B,2,FALSE)</f>
        <v>SEVROLL Master rączka 3 m jasny brąz</v>
      </c>
      <c r="I551" s="1" t="str">
        <f>J6</f>
        <v>j.brąz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srebrny</v>
      </c>
      <c r="D553" s="169">
        <v>215234</v>
      </c>
      <c r="E553" s="48" t="str">
        <f>+VLOOKUP(A553,cennik!A:G,2,FALSE)</f>
        <v>SEVROLL Polo rączka 10mm 2,70m srebrny</v>
      </c>
      <c r="F553" s="48" t="str">
        <f>+VLOOKUP(A553,cennik!A:B,2,FALSE)</f>
        <v>SEVROLL Polo rączka 10mm 2,70m srebrny</v>
      </c>
      <c r="I553" s="1" t="str">
        <f>J4</f>
        <v>srebrny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j.brąz</v>
      </c>
      <c r="D554">
        <v>223551</v>
      </c>
      <c r="E554" s="48" t="str">
        <f>+VLOOKUP(A554,cennik!A:G,2,FALSE)</f>
        <v>SEVROLL Polo rączka 10mm 2,70m jasny brąz</v>
      </c>
      <c r="F554" s="48" t="str">
        <f>+VLOOKUP(A554,cennik!A:B,2,FALSE)</f>
        <v>SEVROLL Polo rączka 10mm 2,70m jasny brąz</v>
      </c>
      <c r="I554" s="1" t="str">
        <f>J6</f>
        <v>j.brąz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srebrny</v>
      </c>
      <c r="D556" s="169">
        <v>215233</v>
      </c>
      <c r="E556" s="48" t="str">
        <f>+VLOOKUP(A556,cennik!A:G,2,FALSE)</f>
        <v>SEVROLL Fala rączka 10mm 2,70m srebrny</v>
      </c>
      <c r="F556" s="48" t="str">
        <f>+VLOOKUP(A556,cennik!A:B,2,FALSE)</f>
        <v>SEVROLL Fala rączka 10mm 2,70m srebrny</v>
      </c>
      <c r="I556" s="1" t="str">
        <f>J4</f>
        <v>srebrny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j.brąz</v>
      </c>
      <c r="D557" s="169">
        <v>223550</v>
      </c>
      <c r="E557" s="48" t="str">
        <f>+VLOOKUP(A557,cennik!A:G,2,FALSE)</f>
        <v>SEVROLL Fala rączka 10mm 2,70m jasny brąz</v>
      </c>
      <c r="F557" s="48" t="str">
        <f>+VLOOKUP(A557,cennik!A:B,2,FALSE)</f>
        <v>SEVROLL Fala rączka 10mm 2,70m jasny brąz</v>
      </c>
      <c r="I557" s="1" t="str">
        <f>J6</f>
        <v>j.brąz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srebrny</v>
      </c>
      <c r="D559" s="169">
        <v>349474</v>
      </c>
      <c r="E559" s="48" t="str">
        <f>+VLOOKUP(A559,cennik!A:G,2,FALSE)</f>
        <v>SEVROLL Era rączka 18 mm 2,70 m, srebrna</v>
      </c>
      <c r="F559" s="48" t="str">
        <f>+VLOOKUP(A559,cennik!A:B,2,FALSE)</f>
        <v>SEVROLL Era rączka 18 mm 2,70 m, srebrna</v>
      </c>
      <c r="I559" s="1" t="str">
        <f>J4</f>
        <v>srebrny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 czarny mat</v>
      </c>
      <c r="D560" s="58">
        <v>488246</v>
      </c>
      <c r="E560" s="48" t="str">
        <f>+VLOOKUP(A560,cennik!A:G,2,FALSE)</f>
        <v>SEVROLL 05745 Rączka Era 18 mm 2,70 m czarny mat</v>
      </c>
      <c r="F560" s="48" t="str">
        <f>+VLOOKUP(A560,cennik!A:B,2,FALSE)</f>
        <v>SEVROLL 05745 Rączka Era 18 mm 2,70 m czarny mat</v>
      </c>
      <c r="Z560" s="1" t="b">
        <f t="shared" si="12"/>
        <v>1</v>
      </c>
    </row>
    <row r="561" spans="1:26" ht="15" customHeight="1" x14ac:dyDescent="0.3">
      <c r="A561" s="434">
        <v>372603</v>
      </c>
      <c r="B561" s="434"/>
      <c r="C561" s="434" t="str">
        <f>J15</f>
        <v> biały połysk</v>
      </c>
      <c r="D561" s="434">
        <v>372603</v>
      </c>
      <c r="E561" s="432" t="str">
        <f>+VLOOKUP(A561,cennik!A:G,2,FALSE)</f>
        <v>Sevroll Rączka Era 18 mm 2,70 m, biała połysk</v>
      </c>
      <c r="F561" s="432" t="str">
        <f>+VLOOKUP(A561,cennik!A:B,2,FALSE)</f>
        <v>Sevroll Rączka Era 18 mm 2,70 m, biała połysk</v>
      </c>
      <c r="G561" s="434"/>
      <c r="H561" s="434"/>
      <c r="I561" s="434" t="str">
        <f>J15</f>
        <v> biały połysk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j.brąz</v>
      </c>
      <c r="D562" s="169">
        <v>349794</v>
      </c>
      <c r="E562" s="48" t="str">
        <f>+VLOOKUP(A562,cennik!A:G,2,FALSE)</f>
        <v>SEVROLL Era rączka 18mm 2,70m, jasny brąz</v>
      </c>
      <c r="F562" s="48" t="str">
        <f>+VLOOKUP(A562,cennik!A:B,2,FALSE)</f>
        <v>SEVROLL Era rączka 18mm 2,70m, jasny brąz</v>
      </c>
      <c r="I562" s="1" t="str">
        <f>J6</f>
        <v>j.brąz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srebrny</v>
      </c>
      <c r="D564" s="169">
        <v>341559</v>
      </c>
      <c r="E564" s="48" t="str">
        <f>+VLOOKUP(A564,cennik!A:G,2,FALSE)</f>
        <v>SEVROLL Rekord rączka 18 mm 2,70 m, srebrna</v>
      </c>
      <c r="F564" s="48" t="str">
        <f>+VLOOKUP(A564,cennik!A:B,2,FALSE)</f>
        <v>SEVROLL Rekord rączka 18 mm 2,70 m, srebrna</v>
      </c>
      <c r="I564" s="1" t="str">
        <f>J4</f>
        <v>srebrny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 czarny mat</v>
      </c>
      <c r="D565" s="169">
        <v>488247</v>
      </c>
      <c r="E565" s="48" t="str">
        <f>+VLOOKUP(A565,cennik!A:G,2,FALSE)</f>
        <v>SEVROLL 05909 Rekord rączka 18mm 2,70m czarny mat</v>
      </c>
      <c r="F565" s="48" t="str">
        <f>+VLOOKUP(A565,cennik!A:B,2,FALSE)</f>
        <v>SEVROLL 05909 Rekord rączka 18mm 2,70m czarny mat</v>
      </c>
      <c r="Z565" s="1" t="b">
        <f t="shared" si="12"/>
        <v>1</v>
      </c>
    </row>
    <row r="566" spans="1:26" s="437" customFormat="1" ht="15" customHeight="1" x14ac:dyDescent="0.3">
      <c r="A566" s="169">
        <v>341560</v>
      </c>
      <c r="B566" s="48"/>
      <c r="C566" s="1" t="str">
        <f>J6</f>
        <v>j.brąz</v>
      </c>
      <c r="D566" s="169">
        <v>341560</v>
      </c>
      <c r="E566" s="48" t="str">
        <f>+VLOOKUP(A566,cennik!A:G,2,FALSE)</f>
        <v>SEVROLL Rekord rączka 18mm 2,70m jasny brąz</v>
      </c>
      <c r="F566" s="48" t="str">
        <f>+VLOOKUP(A566,cennik!A:B,2,FALSE)</f>
        <v>SEVROLL Rekord rączka 18mm 2,70m jasny brąz</v>
      </c>
      <c r="G566" s="1"/>
      <c r="H566" s="1"/>
      <c r="I566" s="1" t="str">
        <f>J6</f>
        <v>j.brąz</v>
      </c>
      <c r="Z566" s="1" t="b">
        <f t="shared" si="12"/>
        <v>1</v>
      </c>
    </row>
    <row r="567" spans="1:26" s="437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3">
      <c r="A568" s="439">
        <v>222788</v>
      </c>
      <c r="B568" s="440" t="s">
        <v>707</v>
      </c>
      <c r="C568" s="437" t="str">
        <f>J4</f>
        <v>srebrny</v>
      </c>
      <c r="D568" s="439">
        <v>222788</v>
      </c>
      <c r="E568" s="438" t="str">
        <f>+VLOOKUP(A568,cennik!A:G,2,FALSE)</f>
        <v>SEVROLL Alfa II rączka 18mm 2,70m srebrny</v>
      </c>
      <c r="F568" s="438" t="str">
        <f>+VLOOKUP(A568,cennik!A:B,2,FALSE)</f>
        <v>SEVROLL Alfa II rączka 18mm 2,70m srebrny</v>
      </c>
      <c r="I568" s="437" t="str">
        <f>J4</f>
        <v>srebrny</v>
      </c>
      <c r="Z568" s="1" t="b">
        <f t="shared" si="12"/>
        <v>1</v>
      </c>
    </row>
    <row r="569" spans="1:26" s="437" customFormat="1" ht="15" customHeight="1" x14ac:dyDescent="0.3">
      <c r="A569" s="439">
        <v>222789</v>
      </c>
      <c r="B569" s="438"/>
      <c r="C569" s="437" t="str">
        <f>J6</f>
        <v>j.brąz</v>
      </c>
      <c r="D569" s="439">
        <v>222789</v>
      </c>
      <c r="E569" s="438" t="str">
        <f>+VLOOKUP(A569,cennik!A:G,2,FALSE)</f>
        <v>SEVROLL Alfa II rączka 18mm 2,70m jasny brąz</v>
      </c>
      <c r="F569" s="438" t="str">
        <f>+VLOOKUP(A569,cennik!A:B,2,FALSE)</f>
        <v>SEVROLL Alfa II rączka 18mm 2,70m jasny brąz</v>
      </c>
      <c r="I569" s="437" t="str">
        <f>J6</f>
        <v>j.brąz</v>
      </c>
      <c r="Z569" s="1" t="b">
        <f t="shared" si="12"/>
        <v>1</v>
      </c>
    </row>
    <row r="570" spans="1:26" s="437" customFormat="1" ht="15" customHeight="1" x14ac:dyDescent="0.3">
      <c r="A570" s="439">
        <v>542574</v>
      </c>
      <c r="B570" s="438"/>
      <c r="C570" s="437" t="str">
        <f>J5</f>
        <v>złoty/mosiądz</v>
      </c>
      <c r="D570" s="439">
        <v>542574</v>
      </c>
      <c r="E570" s="438" t="str">
        <f>+VLOOKUP(A570,cennik!A:G,2,FALSE)</f>
        <v>SEVROLL 06816 Alfa II rączka 16/18 mm 2,70 m złota/mosiądz</v>
      </c>
      <c r="F570" s="438" t="str">
        <f>+VLOOKUP(A570,cennik!A:B,2,FALSE)</f>
        <v>SEVROLL 06816 Alfa II rączka 16/18 mm 2,70 m złota/mosiądz</v>
      </c>
      <c r="I570" s="437" t="str">
        <f>J5</f>
        <v>złoty/mosiądz</v>
      </c>
      <c r="Z570" s="1" t="b">
        <f t="shared" si="12"/>
        <v>1</v>
      </c>
    </row>
    <row r="571" spans="1:26" s="437" customFormat="1" ht="15" customHeight="1" x14ac:dyDescent="0.3">
      <c r="A571" s="439">
        <v>276730</v>
      </c>
      <c r="B571" s="438"/>
      <c r="C571" s="437" t="str">
        <f>J15</f>
        <v> biały połysk</v>
      </c>
      <c r="D571" s="439">
        <v>276730</v>
      </c>
      <c r="E571" s="438" t="str">
        <f>+VLOOKUP(A571,cennik!A:G,2,FALSE)</f>
        <v>SEVROLL Alfa II rączka 18mm 2,7m biały połysk</v>
      </c>
      <c r="F571" s="438" t="str">
        <f>+VLOOKUP(A571,cennik!A:B,2,FALSE)</f>
        <v>SEVROLL Alfa II rączka 18mm 2,7m biały połysk</v>
      </c>
      <c r="I571" s="437" t="str">
        <f>J15</f>
        <v> biały połysk</v>
      </c>
      <c r="Z571" s="1" t="b">
        <f t="shared" ref="Z571:Z635" si="15">A571=D571</f>
        <v>1</v>
      </c>
    </row>
    <row r="572" spans="1:26" s="437" customFormat="1" ht="15" customHeight="1" x14ac:dyDescent="0.3">
      <c r="A572" s="2">
        <v>395495</v>
      </c>
      <c r="B572" s="1"/>
      <c r="C572" s="1" t="str">
        <f>J16</f>
        <v>czarny połysk</v>
      </c>
      <c r="D572" s="2">
        <v>395495</v>
      </c>
      <c r="E572" s="48" t="str">
        <f>+VLOOKUP(A572,cennik!A:G,2,FALSE)</f>
        <v>SEVROLL Alfa II rączka 18mm 2,7m czarny połysk</v>
      </c>
      <c r="F572" s="48" t="str">
        <f>+VLOOKUP(A572,cennik!A:B,2,FALSE)</f>
        <v>SEVROLL Alfa II rączka 18mm 2,7m czarny połysk</v>
      </c>
      <c r="G572" s="1"/>
      <c r="H572" s="1"/>
      <c r="I572" s="1" t="str">
        <f>J16</f>
        <v>czarny połysk</v>
      </c>
      <c r="Z572" s="1" t="b">
        <f t="shared" si="15"/>
        <v>1</v>
      </c>
    </row>
    <row r="573" spans="1:26" s="437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rączka 18mm 2,7m grafit</v>
      </c>
      <c r="F573" s="48" t="str">
        <f>+VLOOKUP(A573,cennik!A:B,2,FALSE)</f>
        <v>SEVROLL 06053 Alfa II rączka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 czarny mat</v>
      </c>
      <c r="D574" s="1">
        <v>288252</v>
      </c>
      <c r="E574" s="48" t="str">
        <f>+VLOOKUP(A574,cennik!A:G,2,FALSE)</f>
        <v>SEVROLL Alfa II rączka 18mm 2,7m czarny mat</v>
      </c>
      <c r="F574" s="48" t="str">
        <f>+VLOOKUP(A574,cennik!A:B,2,FALSE)</f>
        <v>SEVROLL Alfa II rączka 18mm 2,7m czarny mat</v>
      </c>
      <c r="I574" s="1" t="str">
        <f>J17</f>
        <v> czarny mat</v>
      </c>
      <c r="Z574" s="1" t="b">
        <f t="shared" si="15"/>
        <v>1</v>
      </c>
    </row>
    <row r="575" spans="1:26" ht="15" customHeight="1" x14ac:dyDescent="0.3">
      <c r="A575" s="436">
        <v>394791</v>
      </c>
      <c r="B575" s="437"/>
      <c r="C575" s="437" t="str">
        <f>J18</f>
        <v>biały mat</v>
      </c>
      <c r="D575" s="436">
        <v>394791</v>
      </c>
      <c r="E575" s="438" t="str">
        <f>+VLOOKUP(A575,cennik!A:G,2,FALSE)</f>
        <v>SEVROLL Alfa II rączka 18mm 2,7m biały matowy</v>
      </c>
      <c r="F575" s="438" t="str">
        <f>+VLOOKUP(A575,cennik!A:B,2,FALSE)</f>
        <v>SEVROLL Alfa II rączka 18mm 2,7m biały matowy</v>
      </c>
      <c r="G575" s="437"/>
      <c r="H575" s="437"/>
      <c r="I575" s="437" t="str">
        <f>J18</f>
        <v>biały mat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czarny lakier strukturalny</v>
      </c>
      <c r="D576" s="49">
        <v>524825</v>
      </c>
      <c r="E576" s="438" t="str">
        <f>+VLOOKUP(A576,cennik!A:G,2,FALSE)</f>
        <v>SEVROLL 06438 Alfa II rączka 16/18mm 2,7m czarny lakier strukturalny</v>
      </c>
      <c r="F576" s="438" t="str">
        <f>+VLOOKUP(A576,cennik!A:B,2,FALSE)</f>
        <v>SEVROLL 06438 Alfa II rączka 16/18mm 2,7m czarny lakier strukturalny</v>
      </c>
      <c r="I576" s="1" t="str">
        <f>J22</f>
        <v>czarny lakier strukturalny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srebrny</v>
      </c>
      <c r="D577" s="49">
        <v>89010</v>
      </c>
      <c r="E577" s="48" t="str">
        <f>+VLOOKUP(A577,cennik!A:G,2,FALSE)</f>
        <v>SEVROLL 00215 spojovací lišta H18 3m stříbrná</v>
      </c>
      <c r="F577" s="48" t="str">
        <f>+VLOOKUP(A577,cennik!A:B,2,FALSE)</f>
        <v>SEVROLL 00215 spojovací lišta H18 3m stříbrná</v>
      </c>
      <c r="G577" s="1" t="e">
        <f>+VLOOKUP(A577,#REF!,4,FALSE)</f>
        <v>#REF!</v>
      </c>
      <c r="I577" s="1" t="str">
        <f>J4</f>
        <v>srebrny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j.brąz</v>
      </c>
      <c r="D578" s="49">
        <v>89012</v>
      </c>
      <c r="E578" s="48" t="str">
        <f>+VLOOKUP(A578,cennik!A:G,2,FALSE)</f>
        <v>SEVROLL 00212 spojovací lišta H18 3m oliva</v>
      </c>
      <c r="F578" s="48" t="str">
        <f>+VLOOKUP(A578,cennik!A:B,2,FALSE)</f>
        <v>SEVROLL 00212 spojovací lišta H18 3m oliva</v>
      </c>
      <c r="G578" s="1" t="e">
        <f>+VLOOKUP(A578,#REF!,4,FALSE)</f>
        <v>#REF!</v>
      </c>
      <c r="I578" s="1" t="str">
        <f>J6</f>
        <v>j.brąz</v>
      </c>
      <c r="Z578" s="1" t="b">
        <f t="shared" si="15"/>
        <v>1</v>
      </c>
    </row>
    <row r="579" spans="1:26" ht="15" customHeight="1" x14ac:dyDescent="0.3">
      <c r="A579" s="49">
        <v>542588</v>
      </c>
      <c r="B579" s="48"/>
      <c r="C579" s="1" t="str">
        <f>J5</f>
        <v>złoty/mosiądz</v>
      </c>
      <c r="D579" s="49">
        <v>542588</v>
      </c>
      <c r="E579" s="48" t="str">
        <f>+VLOOKUP(A579,cennik!A:G,2,FALSE)</f>
        <v>SEVROLL 06794 spojovací lišta H18 3m zlatá/mosiądz</v>
      </c>
      <c r="F579" s="48" t="str">
        <f>+VLOOKUP(A579,cennik!A:B,2,FALSE)</f>
        <v>SEVROLL 06794 spojovací lišta H18 3m zlatá/mosiądz</v>
      </c>
      <c r="G579" s="1" t="e">
        <f>+VLOOKUP(A579,#REF!,4,FALSE)</f>
        <v>#REF!</v>
      </c>
      <c r="I579" s="1" t="str">
        <f>J5</f>
        <v>złoty/mosiądz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j.brąz szczotkowany</v>
      </c>
      <c r="D580" s="49">
        <v>191704</v>
      </c>
      <c r="E580" s="48" t="str">
        <f>+VLOOKUP(A580,cennik!A:G,2,FALSE)</f>
        <v>SEVROLL listwa łącząca H18 3m jasny brąz szczotkowany</v>
      </c>
      <c r="F580" s="48" t="str">
        <f>+VLOOKUP(A580,cennik!A:B,2,FALSE)</f>
        <v>SEVROLL listwa łącząca H18 3m jasny brąz szczotkowany</v>
      </c>
      <c r="I580" s="1" t="str">
        <f>J7</f>
        <v>j.brąz szczotkowany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szczot.oliwa ciemna</v>
      </c>
      <c r="D581" s="49">
        <v>223332</v>
      </c>
      <c r="E581" s="48" t="str">
        <f>+VLOOKUP(A581,cennik!A:G,2,FALSE)</f>
        <v>SEVROLL listwa łącząca H18 3 m  oliwka ciemna szczotkowana</v>
      </c>
      <c r="F581" s="48" t="str">
        <f>+VLOOKUP(A581,cennik!A:B,2,FALSE)</f>
        <v>SEVROLL listwa łącząca H18 3 m  oliwka ciemna szczotkowana</v>
      </c>
      <c r="I581" s="1" t="str">
        <f>J8</f>
        <v>szczot.oliwa ciemna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szczot.czarna</v>
      </c>
      <c r="D582" s="49">
        <v>223391</v>
      </c>
      <c r="E582" s="48" t="str">
        <f>+VLOOKUP(A582,cennik!A:G,2,FALSE)</f>
        <v>SEVROLL listwa łącząca H18 3m czarny szczotkowany</v>
      </c>
      <c r="F582" s="48" t="str">
        <f>+VLOOKUP(A582,cennik!A:B,2,FALSE)</f>
        <v>SEVROLL listwa łącząca H18 3m czarny szczotkowany</v>
      </c>
      <c r="I582" s="1" t="str">
        <f>J9</f>
        <v>szczot.czarna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czarny połysk</v>
      </c>
      <c r="D583" s="2">
        <v>405392</v>
      </c>
      <c r="E583" s="48" t="str">
        <f>+VLOOKUP(A583,cennik!A:G,2,FALSE)</f>
        <v>SEVROLL listwa łącząca H18 3m czarny połysk</v>
      </c>
      <c r="F583" s="48" t="str">
        <f>+VLOOKUP(A583,cennik!A:B,2,FALSE)</f>
        <v>SEVROLL listwa łącząca H18 3m czarny połysk</v>
      </c>
      <c r="I583" s="1" t="str">
        <f>J16</f>
        <v>czarny połysk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listwa łącząca H18 3m grafit</v>
      </c>
      <c r="F584" s="48" t="str">
        <f>+VLOOKUP(A584,cennik!A:B,2,FALSE)</f>
        <v>SEVROLL 06041 listwa łącząca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 czarny mat</v>
      </c>
      <c r="D585" s="1">
        <v>409683</v>
      </c>
      <c r="E585" s="48" t="str">
        <f>+VLOOKUP(A585,cennik!A:G,2,FALSE)</f>
        <v>SEVROLL listwa łącząca H18 3m czarny mat</v>
      </c>
      <c r="F585" s="48" t="str">
        <f>+VLOOKUP(A585,cennik!A:B,2,FALSE)</f>
        <v>SEVROLL listwa łącząca H18 3m czarny mat</v>
      </c>
      <c r="I585" s="1" t="str">
        <f>J17</f>
        <v> czarny mat</v>
      </c>
      <c r="Z585" s="1" t="b">
        <f t="shared" si="15"/>
        <v>1</v>
      </c>
    </row>
    <row r="586" spans="1:26" ht="15" customHeight="1" x14ac:dyDescent="0.3">
      <c r="A586" s="436">
        <v>406463</v>
      </c>
      <c r="B586" s="437"/>
      <c r="C586" s="437" t="str">
        <f>J18</f>
        <v>biały mat</v>
      </c>
      <c r="D586" s="436">
        <v>406463</v>
      </c>
      <c r="E586" s="438" t="str">
        <f>+VLOOKUP(A586,cennik!A:G,2,FALSE)</f>
        <v>SEVROLL listwa łącząca H18 3m biały matowy</v>
      </c>
      <c r="F586" s="438" t="str">
        <f>+VLOOKUP(A586,cennik!A:B,2,FALSE)</f>
        <v>SEVROLL listwa łącząca H18 3m biały matowy</v>
      </c>
      <c r="G586" s="437"/>
      <c r="H586" s="437"/>
      <c r="I586" s="437" t="str">
        <f>J18</f>
        <v>biały mat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 biały połysk</v>
      </c>
      <c r="D587" s="49">
        <v>252567</v>
      </c>
      <c r="E587" s="48" t="str">
        <f>+VLOOKUP(A587,cennik!A:G,2,FALSE)</f>
        <v>SEVROLL listwa łącząca H18 3m biały połysk</v>
      </c>
      <c r="F587" s="48" t="str">
        <f>+VLOOKUP(A587,cennik!A:B,2,FALSE)</f>
        <v>SEVROLL listwa łącząca H18 3m biały połysk</v>
      </c>
      <c r="I587" s="1" t="str">
        <f>J15</f>
        <v> biały połysk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czarny lakier strukturalny</v>
      </c>
      <c r="D588" s="49">
        <v>526505</v>
      </c>
      <c r="E588" s="48" t="str">
        <f>+VLOOKUP(A588,cennik!A:G,2,FALSE)</f>
        <v>SEVROLL 06437 listwa łącząca H18 3m czarny lakier strukturalny</v>
      </c>
      <c r="F588" s="48" t="str">
        <f>+VLOOKUP(A588,cennik!A:B,2,FALSE)</f>
        <v>SEVROLL 06437 listwa łącząca H18 3m czarny lakier strukturalny</v>
      </c>
      <c r="I588" s="1" t="str">
        <f>J22</f>
        <v>czarny lakier strukturalny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srebrny</v>
      </c>
      <c r="D589" s="49">
        <v>89188</v>
      </c>
      <c r="E589" s="48" t="str">
        <f>+VLOOKUP(A589,cennik!A:G,2,FALSE)</f>
        <v>SEVROLL listwa łącząca "T" 3m srebrna</v>
      </c>
      <c r="F589" s="48" t="str">
        <f>+VLOOKUP(A589,cennik!A:B,2,FALSE)</f>
        <v>SEVROLL listwa łącząca "T" 3m srebrna</v>
      </c>
      <c r="G589" s="1" t="e">
        <f>+VLOOKUP(A589,#REF!,4,FALSE)</f>
        <v>#REF!</v>
      </c>
      <c r="I589" s="1" t="str">
        <f>J4</f>
        <v>srebrny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j.brąz</v>
      </c>
      <c r="D590" s="49">
        <v>89187</v>
      </c>
      <c r="E590" s="48" t="str">
        <f>+VLOOKUP(A590,cennik!A:G,2,FALSE)</f>
        <v>SEVROLL listwa łącząca "T" 3m jasny brąz</v>
      </c>
      <c r="F590" s="48" t="str">
        <f>+VLOOKUP(A590,cennik!A:B,2,FALSE)</f>
        <v>SEVROLL listwa łącząca "T" 3m jasny brąz</v>
      </c>
      <c r="G590" s="1" t="e">
        <f>+VLOOKUP(A590,#REF!,4,FALSE)</f>
        <v>#REF!</v>
      </c>
      <c r="I590" s="1" t="str">
        <f>J6</f>
        <v>j.brąz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złoty/mosiądz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złoty/mosiądz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j.brąz szczotkowany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j.brąz szczotkowany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szczot.oliwa ciemna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szczot.oliwa ciemna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szczot.czarna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szczot.czarna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37"/>
      <c r="C595" s="437" t="str">
        <f>J17</f>
        <v> czarny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 czarny mat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37"/>
      <c r="C596" s="437" t="str">
        <f>J16</f>
        <v>czarny połysk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czarny połysk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37"/>
      <c r="C597" s="437" t="str">
        <f>J18</f>
        <v>biały mat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biały mat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 biały połysk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 biały połysk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srebrny</v>
      </c>
      <c r="D599" s="49">
        <v>89013</v>
      </c>
      <c r="E599" s="48" t="str">
        <f>+VLOOKUP(A599,cennik!A:G,2,FALSE)</f>
        <v>SEVROLL 01373 spojovací lišta T Decor 3m stříbrná</v>
      </c>
      <c r="F599" s="48" t="str">
        <f>+VLOOKUP(A599,cennik!A:B,2,FALSE)</f>
        <v>SEVROLL 01373 spojovací lišta T Decor 3m stříbrná</v>
      </c>
      <c r="G599" s="1" t="e">
        <f>+VLOOKUP(A599,#REF!,4,FALSE)</f>
        <v>#REF!</v>
      </c>
      <c r="I599" s="1" t="str">
        <f>J4</f>
        <v>srebrny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j.brąz</v>
      </c>
      <c r="D600" s="49">
        <v>89015</v>
      </c>
      <c r="E600" s="48" t="str">
        <f>+VLOOKUP(A600,cennik!A:G,2,FALSE)</f>
        <v>SEVROLL 01370 spojovací lišta T Decor 3m oliva</v>
      </c>
      <c r="F600" s="48" t="str">
        <f>+VLOOKUP(A600,cennik!A:B,2,FALSE)</f>
        <v>SEVROLL 01370 spojovací lišta T Decor 3m oliva</v>
      </c>
      <c r="G600" s="1" t="e">
        <f>+VLOOKUP(A600,#REF!,4,FALSE)</f>
        <v>#REF!</v>
      </c>
      <c r="I600" s="1" t="str">
        <f>J6</f>
        <v>j.brąz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złoty/mosiądz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złoty/mosiądz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j.brąz szczotkowany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j.brąz szczotkowany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37"/>
      <c r="C603" s="437" t="str">
        <f>J17</f>
        <v> czarny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 czarny mat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37"/>
      <c r="C604" s="437" t="str">
        <f>J16</f>
        <v>czarny połysk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czarny połysk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szczot.oliwa ciemna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szczot.oliwa ciemna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37"/>
      <c r="C606" s="437" t="str">
        <f>J18</f>
        <v>biały mat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biały mat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szczot.czarna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szczot.czarna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 biały połysk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 biały połysk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srebrny</v>
      </c>
      <c r="D609" s="49">
        <v>89269</v>
      </c>
      <c r="E609" s="48" t="str">
        <f>+VLOOKUP(A609,cennik!A:G,2,FALSE)</f>
        <v>SEVROLL profil "U" do płyty laminowanej 18mm 3m srebrny</v>
      </c>
      <c r="F609" s="48" t="str">
        <f>+VLOOKUP(A609,cennik!A:B,2,FALSE)</f>
        <v>SEVROLL profil "U" do płyty laminowanej 18mm 3m srebrny</v>
      </c>
      <c r="G609" s="1" t="e">
        <f>+VLOOKUP(A609,#REF!,4,FALSE)</f>
        <v>#REF!</v>
      </c>
      <c r="I609" s="1" t="str">
        <f>J4</f>
        <v>srebrny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j.brąz</v>
      </c>
      <c r="D610" s="49">
        <v>89268</v>
      </c>
      <c r="E610" s="48" t="str">
        <f>+VLOOKUP(A610,cennik!A:G,2,FALSE)</f>
        <v>SEVROLL profil "U" do płyty laminowanej 18mm 3m jasny brąz</v>
      </c>
      <c r="F610" s="48" t="str">
        <f>+VLOOKUP(A610,cennik!A:B,2,FALSE)</f>
        <v>SEVROLL profil "U" do płyty laminowanej 18mm 3m jasny brąz</v>
      </c>
      <c r="G610" s="1" t="e">
        <f>+VLOOKUP(A610,#REF!,4,FALSE)</f>
        <v>#REF!</v>
      </c>
      <c r="I610" s="1" t="str">
        <f>J6</f>
        <v>j.brąz</v>
      </c>
      <c r="Z610" s="1" t="b">
        <f t="shared" si="15"/>
        <v>1</v>
      </c>
    </row>
    <row r="611" spans="1:26" ht="15" customHeight="1" x14ac:dyDescent="0.3">
      <c r="A611" s="49">
        <v>542871</v>
      </c>
      <c r="B611" s="48"/>
      <c r="C611" s="1" t="str">
        <f>J5</f>
        <v>złoty/mosiądz</v>
      </c>
      <c r="D611" s="49">
        <v>542871</v>
      </c>
      <c r="E611" s="48" t="str">
        <f>+VLOOKUP(A611,cennik!A:G,2,FALSE)</f>
        <v>SEVROLL 06789 profil "U" do płyty laminowanej 18mm 3m złoty/mosiądz</v>
      </c>
      <c r="F611" s="48" t="str">
        <f>+VLOOKUP(A611,cennik!A:B,2,FALSE)</f>
        <v>SEVROLL 06789 profil "U" do płyty laminowanej 18mm 3m złoty/mosiądz</v>
      </c>
      <c r="G611" s="1" t="e">
        <f>+VLOOKUP(A611,#REF!,4,FALSE)</f>
        <v>#REF!</v>
      </c>
      <c r="I611" s="1" t="str">
        <f>J5</f>
        <v>złoty/mosiądz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j.brąz szczotkowany</v>
      </c>
      <c r="D612" s="49">
        <v>223341</v>
      </c>
      <c r="E612" s="48" t="str">
        <f>+VLOOKUP(A612,cennik!A:G,2,FALSE)</f>
        <v>SEVROLL profil "U" 18 mm 3 m oliwka szczotkowana</v>
      </c>
      <c r="F612" s="48" t="str">
        <f>+VLOOKUP(A612,cennik!A:B,2,FALSE)</f>
        <v>SEVROLL profil "U" 18 mm 3 m oliwka szczotkowana</v>
      </c>
      <c r="G612" s="1" t="e">
        <f>+VLOOKUP(A612,#REF!,4,FALSE)</f>
        <v>#REF!</v>
      </c>
      <c r="I612" s="1" t="str">
        <f>J7</f>
        <v>j.brąz szczotkowany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szczot.oliwa ciemna</v>
      </c>
      <c r="D613" s="49">
        <v>223342</v>
      </c>
      <c r="E613" s="48" t="str">
        <f>+VLOOKUP(A613,cennik!A:G,2,FALSE)</f>
        <v>SEVROLL profil "U" 18 mm 3 m  oliwka ciemna szczotkowana</v>
      </c>
      <c r="F613" s="48" t="str">
        <f>+VLOOKUP(A613,cennik!A:B,2,FALSE)</f>
        <v>SEVROLL profil "U" 18 mm 3 m  oliwka ciemna szczotkowana</v>
      </c>
      <c r="I613" s="1" t="str">
        <f>J8</f>
        <v>szczot.oliwa ciemna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szczot.czarna</v>
      </c>
      <c r="D614" s="49">
        <v>223343</v>
      </c>
      <c r="E614" s="48" t="str">
        <f>+VLOOKUP(A614,cennik!A:G,2,FALSE)</f>
        <v>SEVROLL profil "U" 18 mm 3 m czarny szczotkowany</v>
      </c>
      <c r="F614" s="48" t="str">
        <f>+VLOOKUP(A614,cennik!A:B,2,FALSE)</f>
        <v>SEVROLL profil "U" 18 mm 3 m czarny szczotkowany</v>
      </c>
      <c r="I614" s="1" t="str">
        <f>J9</f>
        <v>szczot.czarna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czarny połysk</v>
      </c>
      <c r="D615" s="2">
        <v>405364</v>
      </c>
      <c r="E615" s="48" t="str">
        <f>+VLOOKUP(A615,cennik!A:G,2,FALSE)</f>
        <v>SEVROLL profil "U" do płyty laminowanej 18mm 3m czarny połysk</v>
      </c>
      <c r="F615" s="48" t="str">
        <f>+VLOOKUP(A615,cennik!A:B,2,FALSE)</f>
        <v>SEVROLL profil "U" do płyty laminowanej 18mm 3m czarny połysk</v>
      </c>
      <c r="I615" s="1" t="str">
        <f>J16</f>
        <v>czarny połysk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do płyty laminowanej 18mm 3m grafit</v>
      </c>
      <c r="F616" s="48" t="str">
        <f>+VLOOKUP(A616,cennik!A:B,2,FALSE)</f>
        <v>SEVROLL 06033 profil "U" do płyty laminowanej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 czarny mat</v>
      </c>
      <c r="D617" s="2">
        <v>422013</v>
      </c>
      <c r="E617" s="48" t="str">
        <f>+VLOOKUP(A617,cennik!A:G,2,FALSE)</f>
        <v>SEVROLL profil "U" do płyty laminowanej 18mm 3m czarny mat</v>
      </c>
      <c r="F617" s="48" t="str">
        <f>+VLOOKUP(A617,cennik!A:B,2,FALSE)</f>
        <v>SEVROLL profil "U" do płyty laminowanej 18mm 3m czarny mat</v>
      </c>
      <c r="I617" s="1" t="str">
        <f>J16</f>
        <v>czarny połysk</v>
      </c>
      <c r="Z617" s="1" t="b">
        <f t="shared" si="15"/>
        <v>1</v>
      </c>
    </row>
    <row r="618" spans="1:26" ht="15" customHeight="1" x14ac:dyDescent="0.3">
      <c r="A618" s="436">
        <v>406464</v>
      </c>
      <c r="B618" s="437"/>
      <c r="C618" s="437" t="str">
        <f>J18</f>
        <v>biały mat</v>
      </c>
      <c r="D618" s="436">
        <v>406464</v>
      </c>
      <c r="E618" s="438" t="str">
        <f>+VLOOKUP(A618,cennik!A:G,2,FALSE)</f>
        <v>SEVROLL profil "U" do płyty laminowanej 18mm 3m biały matowy</v>
      </c>
      <c r="F618" s="438" t="str">
        <f>+VLOOKUP(A618,cennik!A:B,2,FALSE)</f>
        <v>SEVROLL profil "U" do płyty laminowanej 18mm 3m biały matowy</v>
      </c>
      <c r="G618" s="437"/>
      <c r="H618" s="437"/>
      <c r="I618" s="437" t="str">
        <f>J18</f>
        <v>biały mat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 biały połysk</v>
      </c>
      <c r="D619" s="49">
        <v>360760</v>
      </c>
      <c r="E619" s="48" t="str">
        <f>+VLOOKUP(A619,cennik!A:G,2,FALSE)</f>
        <v>SEVROLL profil "U" do płyty laminowanej 18mm 3m biały połysk</v>
      </c>
      <c r="F619" s="48" t="str">
        <f>+VLOOKUP(A619,cennik!A:B,2,FALSE)</f>
        <v>SEVROLL profil "U" do płyty laminowanej 18mm 3m biały połysk</v>
      </c>
      <c r="I619" s="1" t="str">
        <f>J15</f>
        <v> biały połysk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srebrny</v>
      </c>
      <c r="D620" s="49">
        <v>89016</v>
      </c>
      <c r="E620" s="48" t="str">
        <f>+VLOOKUP(A620,cennik!A:G,2,FALSE)</f>
        <v>SEVROLL 00036 profil "U" Decor 18mm 3m stříbrná</v>
      </c>
      <c r="F620" s="48" t="str">
        <f>+VLOOKUP(A620,cennik!A:B,2,FALSE)</f>
        <v>SEVROLL 00036 profil "U" Decor 18mm 3m stříbrná</v>
      </c>
      <c r="G620" s="1" t="e">
        <f>+VLOOKUP(A620,#REF!,4,FALSE)</f>
        <v>#REF!</v>
      </c>
      <c r="I620" s="1" t="str">
        <f>J4</f>
        <v>srebrny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j.brąz</v>
      </c>
      <c r="D621" s="49">
        <v>89018</v>
      </c>
      <c r="E621" s="48" t="str">
        <f>+VLOOKUP(A621,cennik!A:G,2,FALSE)</f>
        <v>SEVROLL profil "U" Decor 18mm 3m jasny brąz</v>
      </c>
      <c r="F621" s="48" t="str">
        <f>+VLOOKUP(A621,cennik!A:B,2,FALSE)</f>
        <v>SEVROLL profil "U" Decor 18mm 3m jasny brąz</v>
      </c>
      <c r="G621" s="1" t="e">
        <f>+VLOOKUP(A621,#REF!,4,FALSE)</f>
        <v>#REF!</v>
      </c>
      <c r="I621" s="1" t="str">
        <f>J6</f>
        <v>j.brąz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j.brąz szczotkowany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j.brąz szczotkowany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szczot.oliwa ciemna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szczot.oliwa ciemna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szczot.czarna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szczot.czarna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 czarny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 czarny mat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czarny połysk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czarny połysk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złoty/mosiądz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złoty/mosiądz</v>
      </c>
      <c r="Z627" s="1" t="b">
        <f t="shared" si="15"/>
        <v>1</v>
      </c>
    </row>
    <row r="628" spans="1:26" s="437" customFormat="1" ht="15" customHeight="1" x14ac:dyDescent="0.3">
      <c r="A628" s="49" t="s">
        <v>111</v>
      </c>
      <c r="C628" s="437" t="str">
        <f>J18</f>
        <v>biały mat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biały mat</v>
      </c>
      <c r="Z628" s="1" t="b">
        <f t="shared" si="15"/>
        <v>1</v>
      </c>
    </row>
    <row r="629" spans="1:26" s="437" customFormat="1" ht="15" customHeight="1" x14ac:dyDescent="0.3">
      <c r="A629" s="49" t="s">
        <v>111</v>
      </c>
      <c r="B629" s="48"/>
      <c r="C629" s="1" t="str">
        <f>J15</f>
        <v> biały połysk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 biały połysk</v>
      </c>
      <c r="Z629" s="1" t="b">
        <f t="shared" si="15"/>
        <v>1</v>
      </c>
    </row>
    <row r="630" spans="1:26" s="437" customFormat="1" ht="15" customHeight="1" x14ac:dyDescent="0.3">
      <c r="A630" s="439">
        <v>542706</v>
      </c>
      <c r="B630" s="438" t="s">
        <v>48</v>
      </c>
      <c r="C630" s="437" t="str">
        <f>J5</f>
        <v>złoty/mosiądz</v>
      </c>
      <c r="D630" s="439">
        <v>542706</v>
      </c>
      <c r="E630" s="438" t="str">
        <f>+VLOOKUP(A630,cennik!A:G,2,FALSE)</f>
        <v>SEVROLL 06790 kątownik Mini 17x11mm 1,7m złoty/mosiądz</v>
      </c>
      <c r="F630" s="438" t="str">
        <f>+VLOOKUP(A630,cennik!A:B,2,FALSE)</f>
        <v>SEVROLL 06790 kątownik Mini 17x11mm 1,7m złoty/mosiądz</v>
      </c>
      <c r="G630" s="437" t="e">
        <f>+VLOOKUP(A630,#REF!,4,FALSE)</f>
        <v>#REF!</v>
      </c>
      <c r="I630" s="437" t="str">
        <f>J5</f>
        <v>złoty/mosiądz</v>
      </c>
      <c r="Z630" s="1" t="b">
        <f t="shared" si="15"/>
        <v>1</v>
      </c>
    </row>
    <row r="631" spans="1:26" s="437" customFormat="1" ht="15" customHeight="1" x14ac:dyDescent="0.3">
      <c r="A631" s="439">
        <v>89133</v>
      </c>
      <c r="B631" s="438"/>
      <c r="C631" s="437" t="str">
        <f>J6</f>
        <v>j.brąz</v>
      </c>
      <c r="D631" s="439">
        <v>89133</v>
      </c>
      <c r="E631" s="438" t="str">
        <f>+VLOOKUP(A631,cennik!A:G,2,FALSE)</f>
        <v>SEVROLL 00093 úhelník 17x11mm 1,7m oliva</v>
      </c>
      <c r="F631" s="438" t="str">
        <f>+VLOOKUP(A631,cennik!A:B,2,FALSE)</f>
        <v>SEVROLL 00093 úhelník 17x11mm 1,7m oliva</v>
      </c>
      <c r="G631" s="437" t="e">
        <f>+VLOOKUP(A631,#REF!,4,FALSE)</f>
        <v>#REF!</v>
      </c>
      <c r="I631" s="437" t="str">
        <f>J6</f>
        <v>j.brąz</v>
      </c>
      <c r="Z631" s="1" t="b">
        <f t="shared" si="15"/>
        <v>1</v>
      </c>
    </row>
    <row r="632" spans="1:26" s="437" customFormat="1" ht="15" customHeight="1" x14ac:dyDescent="0.3">
      <c r="A632" s="439">
        <v>89134</v>
      </c>
      <c r="B632" s="438"/>
      <c r="C632" s="437" t="str">
        <f>J4</f>
        <v>srebrny</v>
      </c>
      <c r="D632" s="439">
        <v>89134</v>
      </c>
      <c r="E632" s="438" t="str">
        <f>+VLOOKUP(A632,cennik!A:G,2,FALSE)</f>
        <v>SEVROLL 00102 úhelník 17x11mm 1,7m stříbrná</v>
      </c>
      <c r="F632" s="438" t="str">
        <f>+VLOOKUP(A632,cennik!A:B,2,FALSE)</f>
        <v>SEVROLL 00102 úhelník 17x11mm 1,7m stříbrná</v>
      </c>
      <c r="G632" s="437" t="e">
        <f>+VLOOKUP(A632,#REF!,4,FALSE)</f>
        <v>#REF!</v>
      </c>
      <c r="I632" s="437" t="str">
        <f>J4</f>
        <v>srebrny</v>
      </c>
      <c r="Z632" s="1" t="b">
        <f t="shared" si="15"/>
        <v>1</v>
      </c>
    </row>
    <row r="633" spans="1:26" s="437" customFormat="1" ht="15" customHeight="1" x14ac:dyDescent="0.3">
      <c r="A633" s="439" t="s">
        <v>111</v>
      </c>
      <c r="B633" s="438"/>
      <c r="C633" s="437" t="str">
        <f>J7</f>
        <v>j.brąz szczotkowany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j.brąz szczotkowany</v>
      </c>
      <c r="Z633" s="1" t="b">
        <f t="shared" si="15"/>
        <v>1</v>
      </c>
    </row>
    <row r="634" spans="1:26" s="437" customFormat="1" ht="15" customHeight="1" x14ac:dyDescent="0.3">
      <c r="A634" s="439" t="s">
        <v>111</v>
      </c>
      <c r="B634" s="438"/>
      <c r="C634" s="437" t="str">
        <f>J8</f>
        <v>szczot.oliwa ciemna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szczot.oliwa ciemna</v>
      </c>
      <c r="Z634" s="1" t="b">
        <f t="shared" si="15"/>
        <v>1</v>
      </c>
    </row>
    <row r="635" spans="1:26" s="437" customFormat="1" ht="15" customHeight="1" x14ac:dyDescent="0.3">
      <c r="A635" s="2">
        <v>405365</v>
      </c>
      <c r="B635" s="1"/>
      <c r="C635" s="1" t="str">
        <f>J16</f>
        <v>czarny połysk</v>
      </c>
      <c r="D635" s="2">
        <v>405365</v>
      </c>
      <c r="E635" s="48" t="str">
        <f>+VLOOKUP(A635,cennik!A:G,2,FALSE)</f>
        <v>SEVROLL kątownik Mini 17x11 mm 1,7 m czarny połysk</v>
      </c>
      <c r="F635" s="48" t="str">
        <f>+VLOOKUP(A635,cennik!A:B,2,FALSE)</f>
        <v>SEVROLL kątownik Mini 17x11 mm 1,7 m czarny połysk</v>
      </c>
      <c r="G635" s="1"/>
      <c r="H635" s="1"/>
      <c r="I635" s="1" t="str">
        <f>J16</f>
        <v>czarny połysk</v>
      </c>
      <c r="Z635" s="1" t="b">
        <f t="shared" si="15"/>
        <v>1</v>
      </c>
    </row>
    <row r="636" spans="1:26" s="437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kątownik Mini 17x11 mm 1,7 m grafit</v>
      </c>
      <c r="F636" s="48" t="str">
        <f>+VLOOKUP(A636,cennik!A:B,2,FALSE)</f>
        <v>SEVROLL 06034 kątownik Mini 17x11 mm 1,7 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3">
      <c r="A637" s="1">
        <v>422014</v>
      </c>
      <c r="B637" s="1"/>
      <c r="C637" s="1" t="str">
        <f>J17</f>
        <v> czarny mat</v>
      </c>
      <c r="D637" s="1">
        <v>422014</v>
      </c>
      <c r="E637" s="48" t="str">
        <f>+VLOOKUP(A637,cennik!A:G,2,FALSE)</f>
        <v>SEVROLL 05296 kątownik Mini 17x11 mm 1,7 m czarny mat</v>
      </c>
      <c r="F637" s="48" t="str">
        <f>+VLOOKUP(A637,cennik!A:B,2,FALSE)</f>
        <v>SEVROLL 05296 kątownik Mini 17x11 mm 1,7 m czarny mat</v>
      </c>
      <c r="G637" s="1"/>
      <c r="H637" s="1"/>
      <c r="I637" s="1" t="str">
        <f>J17</f>
        <v> czarny mat</v>
      </c>
      <c r="Z637" s="1" t="b">
        <f t="shared" si="16"/>
        <v>1</v>
      </c>
    </row>
    <row r="638" spans="1:26" ht="15" customHeight="1" x14ac:dyDescent="0.3">
      <c r="A638" s="439" t="s">
        <v>111</v>
      </c>
      <c r="B638" s="438"/>
      <c r="C638" s="437" t="str">
        <f>J9</f>
        <v>szczot.czarna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szczot.czarna</v>
      </c>
      <c r="Z638" s="1" t="b">
        <f t="shared" si="16"/>
        <v>1</v>
      </c>
    </row>
    <row r="639" spans="1:26" s="437" customFormat="1" ht="15" customHeight="1" x14ac:dyDescent="0.3">
      <c r="A639" s="436">
        <v>394825</v>
      </c>
      <c r="C639" s="437" t="str">
        <f>J18</f>
        <v>biały mat</v>
      </c>
      <c r="D639" s="436">
        <v>394825</v>
      </c>
      <c r="E639" s="438" t="str">
        <f>+VLOOKUP(A639,cennik!A:G,2,FALSE)</f>
        <v>SEVROLL kątownik Mini 17x11 mm 1,7 m biały matowy</v>
      </c>
      <c r="F639" s="438" t="str">
        <f>+VLOOKUP(A639,cennik!A:B,2,FALSE)</f>
        <v>SEVROLL kątownik Mini 17x11 mm 1,7 m biały matowy</v>
      </c>
      <c r="I639" s="437" t="str">
        <f>J18</f>
        <v>biały mat</v>
      </c>
      <c r="Z639" s="1" t="b">
        <f t="shared" si="16"/>
        <v>1</v>
      </c>
    </row>
    <row r="640" spans="1:26" s="437" customFormat="1" ht="15" customHeight="1" x14ac:dyDescent="0.3">
      <c r="A640" s="439">
        <v>276735</v>
      </c>
      <c r="B640" s="438"/>
      <c r="C640" s="437" t="str">
        <f>J15</f>
        <v> biały połysk</v>
      </c>
      <c r="D640" s="439">
        <v>276735</v>
      </c>
      <c r="E640" s="438" t="str">
        <f>+VLOOKUP(A640,cennik!A:G,2,FALSE)</f>
        <v>SEVROLL kątownik Mini 17x11 mm 1,7 m, biały połysk</v>
      </c>
      <c r="F640" s="438" t="str">
        <f>+VLOOKUP(A640,cennik!A:B,2,FALSE)</f>
        <v>SEVROLL kątownik Mini 17x11 mm 1,7 m, biały połysk</v>
      </c>
      <c r="G640" s="437" t="e">
        <f>+VLOOKUP(A640,#REF!,4,FALSE)</f>
        <v>#REF!</v>
      </c>
      <c r="I640" s="437" t="str">
        <f>J15</f>
        <v> biały połysk</v>
      </c>
      <c r="Z640" s="1" t="b">
        <f t="shared" si="16"/>
        <v>1</v>
      </c>
    </row>
    <row r="641" spans="1:26" s="437" customFormat="1" ht="15" customHeight="1" x14ac:dyDescent="0.3">
      <c r="A641" s="439">
        <v>526502</v>
      </c>
      <c r="B641" s="438"/>
      <c r="C641" s="437" t="str">
        <f>J22</f>
        <v>czarny lakier strukturalny</v>
      </c>
      <c r="D641" s="439">
        <v>526502</v>
      </c>
      <c r="E641" s="438" t="str">
        <f>+VLOOKUP(A641,cennik!A:G,2,FALSE)</f>
        <v>SEVROLL 06434 kątownik Mini 17x11mm, 1,7 m czarny lakier strukturalny</v>
      </c>
      <c r="F641" s="438" t="str">
        <f>+VLOOKUP(A641,cennik!A:B,2,FALSE)</f>
        <v>SEVROLL 06434 kątownik Mini 17x11mm, 1,7 m czarny lakier strukturalny</v>
      </c>
      <c r="I641" s="437" t="str">
        <f>J22</f>
        <v>czarny lakier strukturalny</v>
      </c>
      <c r="Z641" s="1"/>
    </row>
    <row r="642" spans="1:26" s="437" customFormat="1" ht="15" customHeight="1" x14ac:dyDescent="0.3">
      <c r="A642" s="439">
        <v>542764</v>
      </c>
      <c r="B642" s="438" t="s">
        <v>49</v>
      </c>
      <c r="C642" s="437" t="str">
        <f>J5</f>
        <v>złoty/mosiądz</v>
      </c>
      <c r="D642" s="439">
        <v>542764</v>
      </c>
      <c r="E642" s="438" t="str">
        <f>+VLOOKUP(A642,cennik!A:G,2,FALSE)</f>
        <v>SEVROLL 06791 kątownik Mini 17x11mm 2,35m złoty/mosiądz</v>
      </c>
      <c r="F642" s="438" t="str">
        <f>+VLOOKUP(A642,cennik!A:B,2,FALSE)</f>
        <v>SEVROLL 06791 kątownik Mini 17x11mm 2,35m złoty/mosiądz</v>
      </c>
      <c r="G642" s="437" t="e">
        <f>+VLOOKUP(A642,#REF!,4,FALSE)</f>
        <v>#REF!</v>
      </c>
      <c r="I642" s="437" t="str">
        <f>J5</f>
        <v>złoty/mosiądz</v>
      </c>
      <c r="Z642" s="1" t="b">
        <f t="shared" si="16"/>
        <v>1</v>
      </c>
    </row>
    <row r="643" spans="1:26" s="437" customFormat="1" ht="15" customHeight="1" x14ac:dyDescent="0.3">
      <c r="A643" s="439">
        <v>89136</v>
      </c>
      <c r="B643" s="438"/>
      <c r="C643" s="437" t="str">
        <f>J6</f>
        <v>j.brąz</v>
      </c>
      <c r="D643" s="439">
        <v>89136</v>
      </c>
      <c r="E643" s="438" t="str">
        <f>+VLOOKUP(A643,cennik!A:G,2,FALSE)</f>
        <v>SEVROLL 00094 úhelník 17x11mm 2,35m oliva</v>
      </c>
      <c r="F643" s="438" t="str">
        <f>+VLOOKUP(A643,cennik!A:B,2,FALSE)</f>
        <v>SEVROLL 00094 úhelník 17x11mm 2,35m oliva</v>
      </c>
      <c r="G643" s="437" t="e">
        <f>+VLOOKUP(A643,#REF!,4,FALSE)</f>
        <v>#REF!</v>
      </c>
      <c r="I643" s="437" t="str">
        <f>J6</f>
        <v>j.brąz</v>
      </c>
      <c r="Z643" s="1" t="b">
        <f t="shared" si="16"/>
        <v>1</v>
      </c>
    </row>
    <row r="644" spans="1:26" s="437" customFormat="1" ht="15" customHeight="1" x14ac:dyDescent="0.3">
      <c r="A644" s="439" t="s">
        <v>111</v>
      </c>
      <c r="B644" s="438"/>
      <c r="C644" s="437" t="str">
        <f>J7</f>
        <v>j.brąz szczotkowany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j.brąz szczotkowany</v>
      </c>
      <c r="Z644" s="1" t="b">
        <f t="shared" si="16"/>
        <v>1</v>
      </c>
    </row>
    <row r="645" spans="1:26" s="437" customFormat="1" ht="15" customHeight="1" x14ac:dyDescent="0.3">
      <c r="A645" s="439" t="s">
        <v>111</v>
      </c>
      <c r="B645" s="438"/>
      <c r="C645" s="437" t="str">
        <f>J8</f>
        <v>szczot.oliwa ciemna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szczot.oliwa ciemna</v>
      </c>
      <c r="Z645" s="1" t="b">
        <f t="shared" si="16"/>
        <v>1</v>
      </c>
    </row>
    <row r="646" spans="1:26" s="437" customFormat="1" ht="15" customHeight="1" x14ac:dyDescent="0.3">
      <c r="A646" s="2">
        <v>405366</v>
      </c>
      <c r="B646" s="1"/>
      <c r="C646" s="437" t="str">
        <f>J16</f>
        <v>czarny połysk</v>
      </c>
      <c r="D646" s="2">
        <v>405366</v>
      </c>
      <c r="E646" s="438" t="str">
        <f>+VLOOKUP(A646,cennik!A:G,2,FALSE)</f>
        <v>SEVROLL kątownik Mini 17x11 mm 2,35 m czarny połysk</v>
      </c>
      <c r="F646" s="438" t="str">
        <f>+VLOOKUP(A646,cennik!A:B,2,FALSE)</f>
        <v>SEVROLL kątownik Mini 17x11 mm 2,35 m czarny połysk</v>
      </c>
      <c r="G646" s="1"/>
      <c r="H646" s="1"/>
      <c r="I646" s="437" t="str">
        <f>J16</f>
        <v>czarny połysk</v>
      </c>
      <c r="Z646" s="1" t="b">
        <f t="shared" si="16"/>
        <v>1</v>
      </c>
    </row>
    <row r="647" spans="1:26" s="437" customFormat="1" ht="15" customHeight="1" x14ac:dyDescent="0.3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kątownik Mini 17x11 mm 2,35m grafit</v>
      </c>
      <c r="F647" s="438" t="str">
        <f>+VLOOKUP(A647,cennik!A:B,2,FALSE)</f>
        <v>SEVROLL 06035 kątownik Mini 17x11 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3">
      <c r="A648" s="1">
        <v>409682</v>
      </c>
      <c r="B648" s="1"/>
      <c r="C648" s="437" t="str">
        <f>J17</f>
        <v> czarny mat</v>
      </c>
      <c r="D648" s="1">
        <v>409682</v>
      </c>
      <c r="E648" s="438" t="str">
        <f>+VLOOKUP(A648,cennik!A:G,2,FALSE)</f>
        <v>SEVROLL kątownik Mini 17x11 mm 2,35 m czarny mat</v>
      </c>
      <c r="F648" s="438" t="str">
        <f>+VLOOKUP(A648,cennik!A:B,2,FALSE)</f>
        <v>SEVROLL kątownik Mini 17x11 mm 2,35 m czarny mat</v>
      </c>
      <c r="G648" s="1"/>
      <c r="H648" s="1"/>
      <c r="I648" s="437" t="str">
        <f>J17</f>
        <v> czarny mat</v>
      </c>
      <c r="Z648" s="1" t="b">
        <f t="shared" si="16"/>
        <v>1</v>
      </c>
    </row>
    <row r="649" spans="1:26" s="437" customFormat="1" ht="15" customHeight="1" x14ac:dyDescent="0.3">
      <c r="A649" s="439" t="s">
        <v>111</v>
      </c>
      <c r="B649" s="438"/>
      <c r="C649" s="437" t="str">
        <f>J9</f>
        <v>szczot.czarna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szczot.czarna</v>
      </c>
      <c r="Z649" s="1" t="b">
        <f t="shared" si="16"/>
        <v>1</v>
      </c>
    </row>
    <row r="650" spans="1:26" ht="15" customHeight="1" x14ac:dyDescent="0.3">
      <c r="A650" s="439">
        <v>89137</v>
      </c>
      <c r="B650" s="438"/>
      <c r="C650" s="437" t="str">
        <f>J4</f>
        <v>srebrny</v>
      </c>
      <c r="D650" s="439">
        <v>89137</v>
      </c>
      <c r="E650" s="438" t="str">
        <f>+VLOOKUP(A650,cennik!A:G,2,FALSE)</f>
        <v>SEVROLL kątownik 17x11mm 2,35m srebrny</v>
      </c>
      <c r="F650" s="438" t="str">
        <f>+VLOOKUP(A650,cennik!A:B,2,FALSE)</f>
        <v>SEVROLL kątownik 17x11mm 2,35m srebrny</v>
      </c>
      <c r="G650" s="437" t="e">
        <f>+VLOOKUP(A650,#REF!,4,FALSE)</f>
        <v>#REF!</v>
      </c>
      <c r="H650" s="437"/>
      <c r="I650" s="437" t="str">
        <f>J4</f>
        <v>srebrny</v>
      </c>
      <c r="Z650" s="1" t="b">
        <f t="shared" si="16"/>
        <v>1</v>
      </c>
    </row>
    <row r="651" spans="1:26" ht="15" customHeight="1" x14ac:dyDescent="0.3">
      <c r="A651" s="436">
        <v>394826</v>
      </c>
      <c r="B651" s="437"/>
      <c r="C651" s="437" t="str">
        <f>J18</f>
        <v>biały mat</v>
      </c>
      <c r="D651" s="436">
        <v>394826</v>
      </c>
      <c r="E651" s="438" t="str">
        <f>+VLOOKUP(A651,cennik!A:G,2,FALSE)</f>
        <v>SEVROLL kątownik Mini 17x11mm 2,35 m biały matowy</v>
      </c>
      <c r="F651" s="438" t="str">
        <f>+VLOOKUP(A651,cennik!A:B,2,FALSE)</f>
        <v>SEVROLL kątownik Mini 17x11mm 2,35 m biały matowy</v>
      </c>
      <c r="G651" s="437"/>
      <c r="H651" s="437"/>
      <c r="I651" s="437" t="str">
        <f>J18</f>
        <v>biały mat</v>
      </c>
      <c r="Z651" s="1" t="b">
        <f t="shared" si="16"/>
        <v>1</v>
      </c>
    </row>
    <row r="652" spans="1:26" ht="15" customHeight="1" x14ac:dyDescent="0.3">
      <c r="A652" s="439">
        <v>276732</v>
      </c>
      <c r="B652" s="438"/>
      <c r="C652" s="437" t="str">
        <f>J15</f>
        <v> biały połysk</v>
      </c>
      <c r="D652" s="439">
        <v>276732</v>
      </c>
      <c r="E652" s="438" t="str">
        <f>+VLOOKUP(A652,cennik!A:G,2,FALSE)</f>
        <v>SEVROLL kątownik Mini 17x11 mm 2,35 m, biały połysk</v>
      </c>
      <c r="F652" s="438" t="str">
        <f>+VLOOKUP(A652,cennik!A:B,2,FALSE)</f>
        <v>SEVROLL kątownik Mini 17x11 mm 2,35 m, biały połysk</v>
      </c>
      <c r="G652" s="437" t="e">
        <f>+VLOOKUP(A652,#REF!,4,FALSE)</f>
        <v>#REF!</v>
      </c>
      <c r="H652" s="437"/>
      <c r="I652" s="437" t="str">
        <f>J15</f>
        <v> biały połysk</v>
      </c>
      <c r="Z652" s="1" t="b">
        <f t="shared" si="16"/>
        <v>1</v>
      </c>
    </row>
    <row r="653" spans="1:26" ht="15" customHeight="1" x14ac:dyDescent="0.3">
      <c r="A653" s="439">
        <v>526503</v>
      </c>
      <c r="B653" s="438"/>
      <c r="C653" s="437" t="str">
        <f>J22</f>
        <v>czarny lakier strukturalny</v>
      </c>
      <c r="D653" s="439">
        <v>526503</v>
      </c>
      <c r="E653" s="438" t="str">
        <f>+VLOOKUP(A653,cennik!A:G,2,FALSE)</f>
        <v>SEVROLL 06435 kątownik Mini 17x11mm 2,35m czarny lakier strukturalny</v>
      </c>
      <c r="F653" s="438" t="str">
        <f>+VLOOKUP(A653,cennik!A:B,2,FALSE)</f>
        <v>SEVROLL 06435 kątownik Mini 17x11mm 2,35m czarny lakier strukturalny</v>
      </c>
      <c r="G653" s="437"/>
      <c r="H653" s="437"/>
      <c r="I653" s="437" t="str">
        <f>J22</f>
        <v>czarny lakier strukturalny</v>
      </c>
    </row>
    <row r="654" spans="1:26" ht="15" customHeight="1" x14ac:dyDescent="0.3">
      <c r="A654" s="49">
        <v>542863</v>
      </c>
      <c r="B654" s="48" t="s">
        <v>50</v>
      </c>
      <c r="C654" s="1" t="str">
        <f>J5</f>
        <v>złoty/mosiądz</v>
      </c>
      <c r="D654" s="49">
        <v>542863</v>
      </c>
      <c r="E654" s="48" t="str">
        <f>+VLOOKUP(A654,cennik!A:G,2,FALSE)</f>
        <v>SEVROLL 06792 kątownik Mini 17x11mm 3m złoty/mosiądz</v>
      </c>
      <c r="F654" s="48" t="str">
        <f>+VLOOKUP(A654,cennik!A:B,2,FALSE)</f>
        <v>SEVROLL 06792 kątownik Mini 17x11mm 3m złoty/mosiądz</v>
      </c>
      <c r="G654" s="1" t="e">
        <f>+VLOOKUP(A654,#REF!,4,FALSE)</f>
        <v>#REF!</v>
      </c>
      <c r="I654" s="1" t="str">
        <f>J5</f>
        <v>złoty/mosiądz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j.brąz szczotkowany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j.brąz szczotkowany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szczot.oliwa ciemna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szczot.oliwa ciemna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czarny połysk</v>
      </c>
      <c r="D657" s="2">
        <v>405367</v>
      </c>
      <c r="E657" s="48" t="str">
        <f>+VLOOKUP(A657,cennik!A:G,2,FALSE)</f>
        <v>SEVROLL kątownik Mini 17x11 mm 3 m czarny połysk</v>
      </c>
      <c r="F657" s="48" t="str">
        <f>+VLOOKUP(A657,cennik!A:B,2,FALSE)</f>
        <v>SEVROLL kątownik Mini 17x11 mm 3 m czarny połysk</v>
      </c>
      <c r="I657" s="1" t="str">
        <f>J16</f>
        <v>czarny połysk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kątownik Mini 17x11 mm 3 m grafit</v>
      </c>
      <c r="F658" s="48" t="str">
        <f>+VLOOKUP(A658,cennik!A:B,2,FALSE)</f>
        <v>SEVROLL 06036 kątownik Mini 17x11 mm 3 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 czarny mat</v>
      </c>
      <c r="D659" s="1">
        <v>412226</v>
      </c>
      <c r="E659" s="48" t="str">
        <f>+VLOOKUP(A659,cennik!A:G,2,FALSE)</f>
        <v>SEVROLL kątownik Mini 17x11 mm 3 m czarny mat</v>
      </c>
      <c r="F659" s="48" t="str">
        <f>+VLOOKUP(A659,cennik!A:B,2,FALSE)</f>
        <v>SEVROLL kątownik Mini 17x11 mm 3 m czarny mat</v>
      </c>
      <c r="I659" s="1" t="str">
        <f>J17</f>
        <v> czarny mat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szczot.czarna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szczot.czarna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j.brąz</v>
      </c>
      <c r="D661" s="49">
        <v>89139</v>
      </c>
      <c r="E661" s="48" t="str">
        <f>+VLOOKUP(A661,cennik!A:G,2,FALSE)</f>
        <v>SEVROLL kątownik 17x11mm 3m jasny brąz</v>
      </c>
      <c r="F661" s="48" t="str">
        <f>+VLOOKUP(A661,cennik!A:B,2,FALSE)</f>
        <v>SEVROLL kątownik 17x11mm 3m jasny brąz</v>
      </c>
      <c r="G661" s="1" t="e">
        <f>+VLOOKUP(A661,#REF!,4,FALSE)</f>
        <v>#REF!</v>
      </c>
      <c r="I661" s="1" t="str">
        <f>J6</f>
        <v>j.brąz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srebrny</v>
      </c>
      <c r="D662" s="49">
        <v>89140</v>
      </c>
      <c r="E662" s="48" t="str">
        <f>+VLOOKUP(A662,cennik!A:G,2,FALSE)</f>
        <v>SEVROLL kątownik 17x11mm 3m srebrny</v>
      </c>
      <c r="F662" s="48" t="str">
        <f>+VLOOKUP(A662,cennik!A:B,2,FALSE)</f>
        <v>SEVROLL kątownik 17x11mm 3m srebrny</v>
      </c>
      <c r="G662" s="1" t="e">
        <f>+VLOOKUP(A662,#REF!,4,FALSE)</f>
        <v>#REF!</v>
      </c>
      <c r="I662" s="1" t="str">
        <f>J4</f>
        <v>srebrny</v>
      </c>
      <c r="Z662" s="1" t="b">
        <f t="shared" si="16"/>
        <v>1</v>
      </c>
    </row>
    <row r="663" spans="1:26" s="437" customFormat="1" ht="15" customHeight="1" x14ac:dyDescent="0.3">
      <c r="A663" s="49" t="s">
        <v>111</v>
      </c>
      <c r="C663" s="437" t="str">
        <f>J18</f>
        <v>biały mat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biały mat</v>
      </c>
      <c r="Z663" s="1" t="b">
        <f t="shared" si="16"/>
        <v>1</v>
      </c>
    </row>
    <row r="664" spans="1:26" s="437" customFormat="1" ht="15" customHeight="1" x14ac:dyDescent="0.3">
      <c r="A664" s="49">
        <v>267880</v>
      </c>
      <c r="B664" s="48"/>
      <c r="C664" s="1" t="str">
        <f>J15</f>
        <v> biały połysk</v>
      </c>
      <c r="D664" s="49">
        <v>267880</v>
      </c>
      <c r="E664" s="48" t="str">
        <f>+VLOOKUP(A664,cennik!A:G,2,FALSE)</f>
        <v>SEVROLL kątownik Mini 17x11 mm 3 m, biały połysk</v>
      </c>
      <c r="F664" s="48" t="str">
        <f>+VLOOKUP(A664,cennik!A:B,2,FALSE)</f>
        <v>SEVROLL kątownik Mini 17x11 mm 3 m, biały połysk</v>
      </c>
      <c r="G664" s="1" t="e">
        <f>+VLOOKUP(A664,#REF!,4,FALSE)</f>
        <v>#REF!</v>
      </c>
      <c r="H664" s="1"/>
      <c r="I664" s="1" t="str">
        <f>J15</f>
        <v> biały połysk</v>
      </c>
      <c r="Z664" s="1" t="b">
        <f t="shared" si="16"/>
        <v>1</v>
      </c>
    </row>
    <row r="665" spans="1:26" s="437" customFormat="1" ht="15" customHeight="1" x14ac:dyDescent="0.3">
      <c r="A665" s="196">
        <v>526504</v>
      </c>
      <c r="B665" s="48"/>
      <c r="C665" s="1" t="str">
        <f>J22</f>
        <v>czarny lakier strukturalny</v>
      </c>
      <c r="D665" s="196">
        <v>526504</v>
      </c>
      <c r="E665" s="48" t="str">
        <f>+VLOOKUP(A665,cennik!A:G,2,FALSE)</f>
        <v>SEVROLL 06436 kątownik Mini 17x11 mm 3m czarny lakier strukturalny</v>
      </c>
      <c r="F665" s="48" t="str">
        <f>+VLOOKUP(A665,cennik!A:B,2,FALSE)</f>
        <v>SEVROLL 06436 kątownik Mini 17x11 mm 3m czarny lakier strukturalny</v>
      </c>
      <c r="G665" s="1"/>
      <c r="H665" s="1"/>
      <c r="I665" s="1" t="str">
        <f>J22</f>
        <v>czarny lakier strukturalny</v>
      </c>
      <c r="Z665" s="1"/>
    </row>
    <row r="666" spans="1:26" s="437" customFormat="1" ht="15" customHeight="1" x14ac:dyDescent="0.3">
      <c r="A666" s="439" t="s">
        <v>111</v>
      </c>
      <c r="B666" s="438" t="s">
        <v>46</v>
      </c>
      <c r="C666" s="437" t="str">
        <f>J5</f>
        <v>złoty/mosiądz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złoty/mosiądz</v>
      </c>
      <c r="Z666" s="1" t="b">
        <f t="shared" si="16"/>
        <v>1</v>
      </c>
    </row>
    <row r="667" spans="1:26" s="437" customFormat="1" ht="15" customHeight="1" x14ac:dyDescent="0.3">
      <c r="A667" s="439">
        <v>89052</v>
      </c>
      <c r="B667" s="438"/>
      <c r="C667" s="437" t="str">
        <f>J6</f>
        <v>j.brąz</v>
      </c>
      <c r="D667" s="439">
        <v>89052</v>
      </c>
      <c r="E667" s="438" t="str">
        <f>+VLOOKUP(A667,cennik!A:G,2,FALSE)</f>
        <v>SEVROLL kątownik K2 Decor 1,7m jasny brąz</v>
      </c>
      <c r="F667" s="438" t="str">
        <f>+VLOOKUP(A667,cennik!A:B,2,FALSE)</f>
        <v>SEVROLL kątownik K2 Decor 1,7m jasny brąz</v>
      </c>
      <c r="G667" s="437" t="e">
        <f>+VLOOKUP(A667,#REF!,4,FALSE)</f>
        <v>#REF!</v>
      </c>
      <c r="I667" s="437" t="str">
        <f>J6</f>
        <v>j.brąz</v>
      </c>
      <c r="Z667" s="1" t="b">
        <f t="shared" si="16"/>
        <v>1</v>
      </c>
    </row>
    <row r="668" spans="1:26" s="437" customFormat="1" ht="15" customHeight="1" x14ac:dyDescent="0.3">
      <c r="A668" s="439">
        <v>89050</v>
      </c>
      <c r="B668" s="438"/>
      <c r="C668" s="437" t="str">
        <f>J4</f>
        <v>srebrny</v>
      </c>
      <c r="D668" s="439">
        <v>89050</v>
      </c>
      <c r="E668" s="438" t="str">
        <f>+VLOOKUP(A668,cennik!A:G,2,FALSE)</f>
        <v>SEVROLL 00078 úhelník K2 Decor 1,7m stříbrná</v>
      </c>
      <c r="F668" s="438" t="str">
        <f>+VLOOKUP(A668,cennik!A:B,2,FALSE)</f>
        <v>SEVROLL 00078 úhelník K2 Decor 1,7m stříbrná</v>
      </c>
      <c r="G668" s="437" t="e">
        <f>+VLOOKUP(A668,#REF!,4,FALSE)</f>
        <v>#REF!</v>
      </c>
      <c r="I668" s="437" t="str">
        <f>J4</f>
        <v>srebrny</v>
      </c>
      <c r="Z668" s="1" t="b">
        <f t="shared" si="16"/>
        <v>1</v>
      </c>
    </row>
    <row r="669" spans="1:26" s="437" customFormat="1" ht="15" customHeight="1" x14ac:dyDescent="0.3">
      <c r="A669" s="49" t="s">
        <v>111</v>
      </c>
      <c r="B669" s="48"/>
      <c r="C669" s="1" t="str">
        <f>J16</f>
        <v>czarny połysk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czarny połysk</v>
      </c>
      <c r="Z669" s="1" t="b">
        <f t="shared" si="16"/>
        <v>1</v>
      </c>
    </row>
    <row r="670" spans="1:26" s="437" customFormat="1" ht="15" customHeight="1" x14ac:dyDescent="0.3">
      <c r="A670" s="49" t="s">
        <v>111</v>
      </c>
      <c r="B670" s="48"/>
      <c r="C670" s="1" t="str">
        <f>J17</f>
        <v> czarny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 czarny mat</v>
      </c>
      <c r="Z670" s="1" t="b">
        <f t="shared" si="16"/>
        <v>1</v>
      </c>
    </row>
    <row r="671" spans="1:26" s="437" customFormat="1" ht="15" customHeight="1" x14ac:dyDescent="0.3">
      <c r="A671" s="439" t="s">
        <v>111</v>
      </c>
      <c r="B671" s="438"/>
      <c r="C671" s="437" t="str">
        <f>J15</f>
        <v> biały połysk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 biały połysk</v>
      </c>
      <c r="Z671" s="1" t="b">
        <f t="shared" si="16"/>
        <v>1</v>
      </c>
    </row>
    <row r="672" spans="1:26" ht="15" customHeight="1" x14ac:dyDescent="0.3">
      <c r="A672" s="439">
        <v>191700</v>
      </c>
      <c r="B672" s="438"/>
      <c r="C672" s="437" t="str">
        <f>J7</f>
        <v>j.brąz szczotkowany</v>
      </c>
      <c r="D672" s="439">
        <v>191700</v>
      </c>
      <c r="E672" s="438" t="str">
        <f>+VLOOKUP(A672,cennik!A:G,2,FALSE)</f>
        <v>SEVROLL kątownik K2 Decor 1,7 m jasny brąz szczotkowany</v>
      </c>
      <c r="F672" s="438" t="str">
        <f>+VLOOKUP(A672,cennik!A:B,2,FALSE)</f>
        <v>SEVROLL kątownik K2 Decor 1,7 m jasny brąz szczotkowany</v>
      </c>
      <c r="G672" s="437"/>
      <c r="H672" s="437"/>
      <c r="I672" s="437" t="str">
        <f>J7</f>
        <v>j.brąz szczotkowany</v>
      </c>
      <c r="Z672" s="1" t="b">
        <f t="shared" si="16"/>
        <v>1</v>
      </c>
    </row>
    <row r="673" spans="1:26" s="437" customFormat="1" ht="15" customHeight="1" x14ac:dyDescent="0.3">
      <c r="A673" s="439">
        <v>223326</v>
      </c>
      <c r="B673" s="438"/>
      <c r="C673" s="437" t="str">
        <f>J8</f>
        <v>szczot.oliwa ciemna</v>
      </c>
      <c r="D673" s="439">
        <v>223326</v>
      </c>
      <c r="E673" s="438" t="str">
        <f>+VLOOKUP(A673,cennik!A:G,2,FALSE)</f>
        <v>SEVROLL kątownik K2 1,7 m  oliwka ciemna szczotkowana</v>
      </c>
      <c r="F673" s="438" t="str">
        <f>+VLOOKUP(A673,cennik!A:B,2,FALSE)</f>
        <v>SEVROLL kątownik K2 1,7 m  oliwka ciemna szczotkowana</v>
      </c>
      <c r="I673" s="437" t="str">
        <f>J8</f>
        <v>szczot.oliwa ciemna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37"/>
      <c r="C674" s="437" t="str">
        <f>J18</f>
        <v>biały mat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biały mat</v>
      </c>
      <c r="Z674" s="1" t="b">
        <f t="shared" si="16"/>
        <v>1</v>
      </c>
    </row>
    <row r="675" spans="1:26" ht="15" customHeight="1" x14ac:dyDescent="0.3">
      <c r="A675" s="439">
        <v>223392</v>
      </c>
      <c r="B675" s="438"/>
      <c r="C675" s="437" t="str">
        <f>J9</f>
        <v>szczot.czarna</v>
      </c>
      <c r="D675" s="439">
        <v>223392</v>
      </c>
      <c r="E675" s="438" t="str">
        <f>+VLOOKUP(A675,cennik!A:G,2,FALSE)</f>
        <v>SEVROLL kątownik K2 1,7 m czarny szczotkowany</v>
      </c>
      <c r="F675" s="438" t="str">
        <f>+VLOOKUP(A675,cennik!A:B,2,FALSE)</f>
        <v>SEVROLL kątownik K2 1,7 m czarny szczotkowany</v>
      </c>
      <c r="G675" s="437"/>
      <c r="H675" s="437"/>
      <c r="I675" s="437" t="str">
        <f>J9</f>
        <v>szczot.czarna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złoty/mosiądz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złoty/mosiądz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j.brąz</v>
      </c>
      <c r="D677" s="49">
        <v>89055</v>
      </c>
      <c r="E677" s="48" t="str">
        <f>+VLOOKUP(A677,cennik!A:G,2,FALSE)</f>
        <v>SEVROLL 00070 úhelník K2 Decor 2,35m oliva</v>
      </c>
      <c r="F677" s="48" t="str">
        <f>+VLOOKUP(A677,cennik!A:B,2,FALSE)</f>
        <v>SEVROLL 00070 úhelník K2 Decor 2,35m oliva</v>
      </c>
      <c r="G677" s="1" t="e">
        <f>+VLOOKUP(A677,#REF!,4,FALSE)</f>
        <v>#REF!</v>
      </c>
      <c r="I677" s="1" t="str">
        <f>J6</f>
        <v>j.brąz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srebrny</v>
      </c>
      <c r="D678" s="49">
        <v>89053</v>
      </c>
      <c r="E678" s="48" t="str">
        <f>+VLOOKUP(A678,cennik!A:G,2,FALSE)</f>
        <v>SEVROLL 00079 úhelník K2 Decor 2,35m stříbrná</v>
      </c>
      <c r="F678" s="48" t="str">
        <f>+VLOOKUP(A678,cennik!A:B,2,FALSE)</f>
        <v>SEVROLL 00079 úhelník K2 Decor 2,35m stříbrná</v>
      </c>
      <c r="G678" s="1" t="e">
        <f>+VLOOKUP(A678,#REF!,4,FALSE)</f>
        <v>#REF!</v>
      </c>
      <c r="I678" s="1" t="str">
        <f>J4</f>
        <v>srebrny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czarny połysk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czarny połysk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 czarny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 czarny mat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j.brąz szczotkowany</v>
      </c>
      <c r="D681" s="49">
        <v>191701</v>
      </c>
      <c r="E681" s="48" t="str">
        <f>+VLOOKUP(A681,cennik!A:G,2,FALSE)</f>
        <v>SEVROLL kątownik K2 Decor 2,35 m jasny brąz szczotkowany</v>
      </c>
      <c r="F681" s="48" t="str">
        <f>+VLOOKUP(A681,cennik!A:B,2,FALSE)</f>
        <v>SEVROLL kątownik K2 Decor 2,35 m jasny brąz szczotkowany</v>
      </c>
      <c r="I681" s="1" t="str">
        <f>J7</f>
        <v>j.brąz szczotkowany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szczot.oliwa ciemna</v>
      </c>
      <c r="D682" s="49">
        <v>223330</v>
      </c>
      <c r="E682" s="48" t="str">
        <f>+VLOOKUP(A682,cennik!A:G,2,FALSE)</f>
        <v>SEVROLL kątownik K2 2,35 m  oliwka ciemna szczotkowana</v>
      </c>
      <c r="F682" s="48" t="str">
        <f>+VLOOKUP(A682,cennik!A:B,2,FALSE)</f>
        <v>SEVROLL kątownik K2 2,35 m  oliwka ciemna szczotkowana</v>
      </c>
      <c r="I682" s="1" t="str">
        <f>J8</f>
        <v>szczot.oliwa ciemna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37"/>
      <c r="C683" s="437" t="str">
        <f>J18</f>
        <v>biały mat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biały mat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szczot.czarna</v>
      </c>
      <c r="D684" s="49">
        <v>223393</v>
      </c>
      <c r="E684" s="48" t="str">
        <f>+VLOOKUP(A684,cennik!A:G,2,FALSE)</f>
        <v>SEVROLL kątownik K2 2,35 m czarny szczotkowany</v>
      </c>
      <c r="F684" s="48" t="str">
        <f>+VLOOKUP(A684,cennik!A:B,2,FALSE)</f>
        <v>SEVROLL kątownik K2 2,35 m czarny szczotkowany</v>
      </c>
      <c r="I684" s="1" t="str">
        <f>J9</f>
        <v>szczot.czarna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 biały połysk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 biały połysk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złoty/mosiądz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złoty/mosiądz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j.brąz</v>
      </c>
      <c r="D687" s="49">
        <v>89058</v>
      </c>
      <c r="E687" s="48" t="str">
        <f>+VLOOKUP(A687,cennik!A:G,2,FALSE)</f>
        <v>SEVROLL 00071 úhelník K2 Decor 3m oliva</v>
      </c>
      <c r="F687" s="48" t="str">
        <f>+VLOOKUP(A687,cennik!A:B,2,FALSE)</f>
        <v>SEVROLL 00071 úhelník K2 Decor 3m oliva</v>
      </c>
      <c r="G687" s="1" t="e">
        <f>+VLOOKUP(A687,#REF!,4,FALSE)</f>
        <v>#REF!</v>
      </c>
      <c r="I687" s="1" t="str">
        <f>J6</f>
        <v>j.brąz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czarny połysk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czarny połysk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 czarny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 czarny mat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srebrny</v>
      </c>
      <c r="D690" s="49">
        <v>89056</v>
      </c>
      <c r="E690" s="48" t="str">
        <f>+VLOOKUP(A690,cennik!A:G,2,FALSE)</f>
        <v>SEVROLL 00080 úhelník K2 Decor 3m stříbrná</v>
      </c>
      <c r="F690" s="48" t="str">
        <f>+VLOOKUP(A690,cennik!A:B,2,FALSE)</f>
        <v>SEVROLL 00080 úhelník K2 Decor 3m stříbrná</v>
      </c>
      <c r="G690" s="1" t="e">
        <f>+VLOOKUP(A690,#REF!,4,FALSE)</f>
        <v>#REF!</v>
      </c>
      <c r="I690" s="1" t="str">
        <f>J4</f>
        <v>srebrny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j.brąz szczotkowany</v>
      </c>
      <c r="D691" s="49">
        <v>191702</v>
      </c>
      <c r="E691" s="48" t="str">
        <f>+VLOOKUP(A691,cennik!A:G,2,FALSE)</f>
        <v>SEVROLL kątownik K2 Decor 3 m jasny brąz szczotkowany</v>
      </c>
      <c r="F691" s="48" t="str">
        <f>+VLOOKUP(A691,cennik!A:B,2,FALSE)</f>
        <v>SEVROLL kątownik K2 Decor 3 m jasny brąz szczotkowany</v>
      </c>
      <c r="I691" s="1" t="str">
        <f>J7</f>
        <v>j.brąz szczotkowany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szczot.oliwa ciemna</v>
      </c>
      <c r="D692" s="49">
        <v>223331</v>
      </c>
      <c r="E692" s="48" t="str">
        <f>+VLOOKUP(A692,cennik!A:G,2,FALSE)</f>
        <v>SEVROLL kątownik K2 3 m  oliwka ciemna szczotkowana</v>
      </c>
      <c r="F692" s="48" t="str">
        <f>+VLOOKUP(A692,cennik!A:B,2,FALSE)</f>
        <v>SEVROLL kątownik K2 3 m  oliwka ciemna szczotkowana</v>
      </c>
      <c r="I692" s="1" t="str">
        <f>J8</f>
        <v>szczot.oliwa ciemna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37"/>
      <c r="C693" s="437" t="str">
        <f>J18</f>
        <v>biały mat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biały mat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szczot.czarna</v>
      </c>
      <c r="D694" s="49">
        <v>223394</v>
      </c>
      <c r="E694" s="48" t="str">
        <f>+VLOOKUP(A694,cennik!A:G,2,FALSE)</f>
        <v>SEVROLL kątownik K2 3 m czarny szczotkowany</v>
      </c>
      <c r="F694" s="48" t="str">
        <f>+VLOOKUP(A694,cennik!A:B,2,FALSE)</f>
        <v>SEVROLL kątownik K2 3 m czarny szczotkowany</v>
      </c>
      <c r="I694" s="1" t="str">
        <f>J9</f>
        <v>szczot.czarna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 biały połysk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 biały połysk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j.brąz</v>
      </c>
      <c r="D696" s="49">
        <v>135534</v>
      </c>
      <c r="E696" s="48" t="str">
        <f>+VLOOKUP(A696,cennik!A:G,2,FALSE)</f>
        <v>SEVROLL Victoria II rączka 18mm 2,7m jasny brąz</v>
      </c>
      <c r="F696" s="48" t="str">
        <f>+VLOOKUP(A696,cennik!A:B,2,FALSE)</f>
        <v>SEVROLL Victoria II rączka 18mm 2,7m jasny brąz</v>
      </c>
      <c r="G696" s="1" t="e">
        <f>+VLOOKUP(A696,#REF!,4,FALSE)</f>
        <v>#REF!</v>
      </c>
      <c r="I696" s="1" t="str">
        <f>J6</f>
        <v>j.brąz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srebrny</v>
      </c>
      <c r="D697" s="49">
        <v>135532</v>
      </c>
      <c r="E697" s="48" t="str">
        <f>+VLOOKUP(A697,cennik!A:G,2,FALSE)</f>
        <v>SEVROLL Victoria II rączka 18mm 2,7m srebrna</v>
      </c>
      <c r="F697" s="48" t="str">
        <f>+VLOOKUP(A697,cennik!A:B,2,FALSE)</f>
        <v>SEVROLL Victoria II rączka 18mm 2,7m srebrna</v>
      </c>
      <c r="G697" s="1" t="e">
        <f>+VLOOKUP(A697,#REF!,4,FALSE)</f>
        <v>#REF!</v>
      </c>
      <c r="I697" s="1" t="str">
        <f>J4</f>
        <v>srebrny</v>
      </c>
      <c r="Z697" s="1" t="b">
        <f t="shared" si="16"/>
        <v>1</v>
      </c>
    </row>
    <row r="698" spans="1:26" s="417" customFormat="1" ht="15" customHeight="1" x14ac:dyDescent="0.3">
      <c r="A698" s="49">
        <v>191699</v>
      </c>
      <c r="B698" s="48"/>
      <c r="C698" s="1" t="str">
        <f>J7</f>
        <v>j.brąz szczotkowany</v>
      </c>
      <c r="D698" s="49">
        <v>191699</v>
      </c>
      <c r="E698" s="48" t="str">
        <f>+VLOOKUP(A698,cennik!A:G,2,FALSE)</f>
        <v>SEVROLL Victoria II rączka 2,7m jasny brąz szczotkowany</v>
      </c>
      <c r="F698" s="48" t="str">
        <f>+VLOOKUP(A698,cennik!A:B,2,FALSE)</f>
        <v>SEVROLL Victoria II rączka 2,7m jasny brąz szczotkowany</v>
      </c>
      <c r="G698" s="1"/>
      <c r="H698" s="1"/>
      <c r="I698" s="1" t="str">
        <f>J7</f>
        <v>j.brąz szczotkowany</v>
      </c>
      <c r="Z698" s="1" t="b">
        <f t="shared" si="16"/>
        <v>1</v>
      </c>
    </row>
    <row r="699" spans="1:26" s="417" customFormat="1" ht="15" customHeight="1" x14ac:dyDescent="0.3">
      <c r="A699" s="49">
        <v>216620</v>
      </c>
      <c r="B699" s="48"/>
      <c r="C699" s="1" t="str">
        <f>J8</f>
        <v>szczot.oliwa ciemna</v>
      </c>
      <c r="D699" s="49">
        <v>216620</v>
      </c>
      <c r="E699" s="48" t="str">
        <f>+VLOOKUP(A699,cennik!A:G,2,FALSE)</f>
        <v>SEVROLL Victoria II 2,7 m oliwka ciemna szczotkowana</v>
      </c>
      <c r="F699" s="48" t="str">
        <f>+VLOOKUP(A699,cennik!A:B,2,FALSE)</f>
        <v>SEVROLL Victoria II 2,7 m oliwka ciemna szczotkowana</v>
      </c>
      <c r="G699" s="1"/>
      <c r="H699" s="1"/>
      <c r="I699" s="1" t="str">
        <f>J8</f>
        <v>szczot.oliwa ciemna</v>
      </c>
      <c r="Z699" s="1" t="b">
        <f t="shared" si="16"/>
        <v>1</v>
      </c>
    </row>
    <row r="700" spans="1:26" s="417" customFormat="1" ht="15" customHeight="1" x14ac:dyDescent="0.3">
      <c r="A700" s="49">
        <v>216621</v>
      </c>
      <c r="B700" s="48"/>
      <c r="C700" s="1" t="str">
        <f>J9</f>
        <v>szczot.czarna</v>
      </c>
      <c r="D700" s="49">
        <v>216621</v>
      </c>
      <c r="E700" s="48" t="str">
        <f>+VLOOKUP(A700,cennik!A:G,2,FALSE)</f>
        <v>SEVROLL Victoria II 2,7m czarny szczotkowany</v>
      </c>
      <c r="F700" s="48" t="str">
        <f>+VLOOKUP(A700,cennik!A:B,2,FALSE)</f>
        <v>SEVROLL Victoria II 2,7m czarny szczotkowany</v>
      </c>
      <c r="G700" s="1"/>
      <c r="H700" s="1"/>
      <c r="I700" s="1" t="str">
        <f>J9</f>
        <v>szczot.czarna</v>
      </c>
      <c r="Z700" s="1" t="b">
        <f t="shared" si="16"/>
        <v>1</v>
      </c>
    </row>
    <row r="701" spans="1:26" s="417" customFormat="1" ht="15" customHeight="1" x14ac:dyDescent="0.3">
      <c r="A701" s="49">
        <v>89098</v>
      </c>
      <c r="B701" s="48" t="s">
        <v>35</v>
      </c>
      <c r="C701" s="1" t="str">
        <f>J6</f>
        <v>j.brąz</v>
      </c>
      <c r="D701" s="49">
        <v>89098</v>
      </c>
      <c r="E701" s="48" t="str">
        <f>+VLOOKUP(A701,cennik!A:G,2,FALSE)</f>
        <v>SEVROLL Tytan rączka 18 mm 2,7 m, oliwka</v>
      </c>
      <c r="F701" s="48" t="str">
        <f>+VLOOKUP(A701,cennik!A:B,2,FALSE)</f>
        <v>SEVROLL Tytan rączka 18 mm 2,7 m, oliwka</v>
      </c>
      <c r="G701" s="1" t="e">
        <f>+VLOOKUP(A701,#REF!,4,FALSE)</f>
        <v>#REF!</v>
      </c>
      <c r="H701" s="1"/>
      <c r="I701" s="1" t="str">
        <f>J6</f>
        <v>j.brąz</v>
      </c>
      <c r="Z701" s="1" t="b">
        <f t="shared" si="16"/>
        <v>1</v>
      </c>
    </row>
    <row r="702" spans="1:26" s="417" customFormat="1" ht="15" customHeight="1" x14ac:dyDescent="0.3">
      <c r="A702" s="49">
        <v>89099</v>
      </c>
      <c r="B702" s="48"/>
      <c r="C702" s="1" t="str">
        <f>J4</f>
        <v>srebrny</v>
      </c>
      <c r="D702" s="49">
        <v>89099</v>
      </c>
      <c r="E702" s="48" t="str">
        <f>+VLOOKUP(A702,cennik!A:G,2,FALSE)</f>
        <v>SEVROLL Tytan rączka 18 mm 2,7 m, srebrna</v>
      </c>
      <c r="F702" s="48" t="str">
        <f>+VLOOKUP(A702,cennik!A:B,2,FALSE)</f>
        <v>SEVROLL Tytan rączka 18 mm 2,7 m, srebrna</v>
      </c>
      <c r="G702" s="1" t="e">
        <f>+VLOOKUP(A702,#REF!,4,FALSE)</f>
        <v>#REF!</v>
      </c>
      <c r="H702" s="1"/>
      <c r="I702" s="1" t="str">
        <f>J4</f>
        <v>srebrny</v>
      </c>
      <c r="Z702" s="1" t="b">
        <f t="shared" si="16"/>
        <v>1</v>
      </c>
    </row>
    <row r="703" spans="1:26" s="417" customFormat="1" ht="15" customHeight="1" x14ac:dyDescent="0.3">
      <c r="A703" s="49">
        <v>213977</v>
      </c>
      <c r="B703" s="161" t="s">
        <v>828</v>
      </c>
      <c r="C703" s="1" t="str">
        <f>J4</f>
        <v>srebrny</v>
      </c>
      <c r="D703" s="49">
        <v>213977</v>
      </c>
      <c r="E703" s="48" t="str">
        <f>+VLOOKUP(A703,cennik!A:G,2,FALSE)</f>
        <v>SEVROLL Beta 18 rączka 2,70m srebrny</v>
      </c>
      <c r="F703" s="48" t="str">
        <f>+VLOOKUP(A703,cennik!A:B,2,FALSE)</f>
        <v>SEVROLL Beta 18 rączka 2,70m srebrny</v>
      </c>
      <c r="G703" s="1"/>
      <c r="H703" s="1"/>
      <c r="I703" s="1" t="str">
        <f>J4</f>
        <v>srebrny</v>
      </c>
      <c r="Z703" s="1" t="b">
        <f t="shared" ref="Z703:Z772" si="17">A703=D703</f>
        <v>1</v>
      </c>
    </row>
    <row r="704" spans="1:26" s="417" customFormat="1" ht="15" customHeight="1" x14ac:dyDescent="0.3">
      <c r="A704" s="49">
        <v>213978</v>
      </c>
      <c r="B704" s="48"/>
      <c r="C704" s="1" t="str">
        <f>J6</f>
        <v>j.brąz</v>
      </c>
      <c r="D704" s="49">
        <v>213978</v>
      </c>
      <c r="E704" s="48" t="str">
        <f>+VLOOKUP(A704,cennik!A:G,2,FALSE)</f>
        <v>SEVROLL Beta 18 rączka 2,70 m oliwka</v>
      </c>
      <c r="F704" s="48" t="str">
        <f>+VLOOKUP(A704,cennik!A:B,2,FALSE)</f>
        <v>SEVROLL Beta 18 rączka 2,70 m oliwka</v>
      </c>
      <c r="G704" s="1"/>
      <c r="H704" s="1"/>
      <c r="I704" s="1" t="str">
        <f>J6</f>
        <v>j.brąz</v>
      </c>
      <c r="Z704" s="1" t="b">
        <f t="shared" si="17"/>
        <v>1</v>
      </c>
    </row>
    <row r="705" spans="1:26" s="417" customFormat="1" ht="15" customHeight="1" x14ac:dyDescent="0.3">
      <c r="A705" s="49">
        <v>246893</v>
      </c>
      <c r="B705" s="161" t="s">
        <v>822</v>
      </c>
      <c r="C705" s="1" t="str">
        <f>J4</f>
        <v>srebrny</v>
      </c>
      <c r="D705" s="49">
        <v>246893</v>
      </c>
      <c r="E705" s="48" t="str">
        <f>+VLOOKUP(A705,cennik!A:G,2,FALSE)</f>
        <v>SEVROLL Oaza II rączka 2,7m srebrny</v>
      </c>
      <c r="F705" s="48" t="str">
        <f>+VLOOKUP(A705,cennik!A:B,2,FALSE)</f>
        <v>SEVROLL Oaza II rączka 2,7m srebrny</v>
      </c>
      <c r="G705" s="1"/>
      <c r="H705" s="1"/>
      <c r="I705" s="1" t="str">
        <f>J4</f>
        <v>srebrny</v>
      </c>
      <c r="Z705" s="1" t="b">
        <f t="shared" si="17"/>
        <v>1</v>
      </c>
    </row>
    <row r="706" spans="1:26" s="417" customFormat="1" ht="15" customHeight="1" x14ac:dyDescent="0.3">
      <c r="A706" s="49">
        <v>246894</v>
      </c>
      <c r="B706" s="48"/>
      <c r="C706" s="1" t="str">
        <f>J6</f>
        <v>j.brąz</v>
      </c>
      <c r="D706" s="49">
        <v>246894</v>
      </c>
      <c r="E706" s="48" t="str">
        <f>+VLOOKUP(A706,cennik!A:G,2,FALSE)</f>
        <v>SEVROLL Oaza II rączka 2,7m jasny brąz</v>
      </c>
      <c r="F706" s="48" t="str">
        <f>+VLOOKUP(A706,cennik!A:B,2,FALSE)</f>
        <v>SEVROLL Oaza II rączka 2,7m jasny brąz</v>
      </c>
      <c r="G706" s="1"/>
      <c r="H706" s="1"/>
      <c r="I706" s="1" t="str">
        <f>J6</f>
        <v>j.brąz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srebrny</v>
      </c>
      <c r="D707" s="49">
        <v>135136</v>
      </c>
      <c r="E707" s="48" t="str">
        <f>+VLOOKUP(A707,cennik!A:G,2,FALSE)</f>
        <v>SEVROLL Factor 18 II rączka 2,7m srebrny</v>
      </c>
      <c r="F707" s="48" t="str">
        <f>+VLOOKUP(A707,cennik!A:B,2,FALSE)</f>
        <v>SEVROLL Factor 18 II rączka 2,7m srebrny</v>
      </c>
      <c r="G707" s="1" t="e">
        <f>+VLOOKUP(A707,#REF!,4,FALSE)</f>
        <v>#REF!</v>
      </c>
      <c r="I707" s="1" t="str">
        <f>J4</f>
        <v>srebrny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j.brąz</v>
      </c>
      <c r="D708" s="49">
        <v>135503</v>
      </c>
      <c r="E708" s="48" t="str">
        <f>+VLOOKUP(A708,cennik!A:G,2,FALSE)</f>
        <v>SEVROLL Factor 18 II rączka 2,7m jasny brąz</v>
      </c>
      <c r="F708" s="48" t="str">
        <f>+VLOOKUP(A708,cennik!A:B,2,FALSE)</f>
        <v>SEVROLL Factor 18 II rączka 2,7m jasny brąz</v>
      </c>
      <c r="G708" s="1" t="e">
        <f>+VLOOKUP(A708,#REF!,4,FALSE)</f>
        <v>#REF!</v>
      </c>
      <c r="I708" s="1" t="str">
        <f>J6</f>
        <v>j.brąz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srebrny</v>
      </c>
      <c r="D709" s="49">
        <v>196711</v>
      </c>
      <c r="E709" s="48" t="str">
        <f>+VLOOKUP(A709,cennik!A:G,2,FALSE)</f>
        <v>Sevroll Lux III rączka 2,7 m srebrna</v>
      </c>
      <c r="F709" s="48" t="str">
        <f>+VLOOKUP(A709,cennik!A:B,2,FALSE)</f>
        <v>Sevroll Lux III rączka 2,7 m srebrna</v>
      </c>
      <c r="H709" s="1">
        <v>2700</v>
      </c>
      <c r="I709" s="1" t="str">
        <f>J4</f>
        <v>srebrny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złoty/mosiądz</v>
      </c>
      <c r="D710" s="49">
        <v>489624</v>
      </c>
      <c r="E710" s="48" t="str">
        <f>+VLOOKUP(A710,cennik!A:G,2,FALSE)</f>
        <v>Sevroll 05000 Lux III rączka 2,7m złoty</v>
      </c>
      <c r="F710" s="48" t="str">
        <f>+VLOOKUP(A710,cennik!A:B,2,FALSE)</f>
        <v>Sevroll 05000 Lux III rączka 2,7m złoty</v>
      </c>
      <c r="H710" s="1">
        <v>2700</v>
      </c>
      <c r="I710" s="1" t="str">
        <f>J5</f>
        <v>złoty/mosiądz</v>
      </c>
    </row>
    <row r="711" spans="1:26" ht="15" customHeight="1" x14ac:dyDescent="0.3">
      <c r="A711" s="49">
        <v>196709</v>
      </c>
      <c r="B711" s="48"/>
      <c r="C711" s="1" t="str">
        <f>J6</f>
        <v>j.brąz</v>
      </c>
      <c r="D711" s="49">
        <v>196709</v>
      </c>
      <c r="E711" s="48" t="str">
        <f>+VLOOKUP(A711,cennik!A:G,2,FALSE)</f>
        <v>Sevroll Lux III rączka 2,7 m jasny brąz</v>
      </c>
      <c r="F711" s="48" t="str">
        <f>+VLOOKUP(A711,cennik!A:B,2,FALSE)</f>
        <v>Sevroll Lux III rączka 2,7 m jasny brąz</v>
      </c>
      <c r="I711" s="1" t="str">
        <f>J6</f>
        <v>j.brąz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srebrny</v>
      </c>
      <c r="D712" s="49">
        <v>489625</v>
      </c>
      <c r="E712" s="48" t="str">
        <f>+VLOOKUP(A712,cennik!A:G,2,FALSE)</f>
        <v>Sevroll 81002 Lux III rączka 3m srebrna</v>
      </c>
      <c r="F712" s="48" t="str">
        <f>+VLOOKUP(A712,cennik!A:B,2,FALSE)</f>
        <v>Sevroll 81002 Lux III rączka 3m srebrna</v>
      </c>
      <c r="H712" s="1">
        <v>3000</v>
      </c>
      <c r="I712" s="1" t="str">
        <f>J4</f>
        <v>srebrny</v>
      </c>
    </row>
    <row r="713" spans="1:26" ht="15" customHeight="1" x14ac:dyDescent="0.3">
      <c r="A713" s="49">
        <v>489948</v>
      </c>
      <c r="B713" s="48"/>
      <c r="C713" s="1" t="str">
        <f>J6</f>
        <v>j.brąz</v>
      </c>
      <c r="D713" s="49">
        <v>489948</v>
      </c>
      <c r="E713" s="48" t="str">
        <f>+VLOOKUP(A713,cennik!A:G,2,FALSE)</f>
        <v>Sevroll 85622 Lux III rączka 3m jasny brąz</v>
      </c>
      <c r="F713" s="48" t="str">
        <f>+VLOOKUP(A713,cennik!A:B,2,FALSE)</f>
        <v>Sevroll 85622 Lux III rączka 3m jasny brąz</v>
      </c>
      <c r="I713" s="1" t="str">
        <f>J6</f>
        <v>j.brąz</v>
      </c>
    </row>
    <row r="714" spans="1:26" ht="15" customHeight="1" x14ac:dyDescent="0.3">
      <c r="A714" s="49">
        <v>489949</v>
      </c>
      <c r="B714" s="48"/>
      <c r="C714" s="1" t="str">
        <f>J5</f>
        <v>złoty/mosiądz</v>
      </c>
      <c r="D714" s="49">
        <v>489949</v>
      </c>
      <c r="E714" s="48" t="str">
        <f>+VLOOKUP(A714,cennik!A:G,2,FALSE)</f>
        <v>Sevroll 05001 Lux III rączka 3m złoty</v>
      </c>
      <c r="F714" s="48" t="str">
        <f>+VLOOKUP(A714,cennik!A:B,2,FALSE)</f>
        <v>Sevroll 05001 Lux III rączka 3m złoty</v>
      </c>
      <c r="I714" s="1" t="str">
        <f>J5</f>
        <v>złoty/mosiądz</v>
      </c>
    </row>
    <row r="715" spans="1:26" ht="15" customHeight="1" x14ac:dyDescent="0.3">
      <c r="A715" s="421">
        <v>96427</v>
      </c>
      <c r="B715" s="419" t="s">
        <v>78</v>
      </c>
      <c r="C715" s="417" t="str">
        <f>J6</f>
        <v>j.brąz</v>
      </c>
      <c r="D715" s="421">
        <v>96427</v>
      </c>
      <c r="E715" s="419" t="str">
        <f>+VLOOKUP(A715,cennik!A:G,2,FALSE)</f>
        <v>SEVROLL Fox II rączka 2,7 m, oliwka</v>
      </c>
      <c r="F715" s="419" t="str">
        <f>+VLOOKUP(A715,cennik!A:B,2,FALSE)</f>
        <v>SEVROLL Fox II rączka 2,7 m, oliwka</v>
      </c>
      <c r="G715" s="417"/>
      <c r="H715" s="417"/>
      <c r="I715" s="417" t="str">
        <f>J6</f>
        <v>j.brąz</v>
      </c>
      <c r="Z715" s="1" t="b">
        <f t="shared" si="17"/>
        <v>1</v>
      </c>
    </row>
    <row r="716" spans="1:26" ht="15" customHeight="1" x14ac:dyDescent="0.3">
      <c r="A716" s="421">
        <v>542872</v>
      </c>
      <c r="B716" s="419"/>
      <c r="C716" s="417" t="str">
        <f>J5</f>
        <v>złoty/mosiądz</v>
      </c>
      <c r="D716" s="421">
        <v>542872</v>
      </c>
      <c r="E716" s="419" t="str">
        <f>+VLOOKUP(A716,cennik!A:G,2,FALSE)</f>
        <v>SEVROLL 06819 Fox II rączka 2,7m złoty/mosiądz</v>
      </c>
      <c r="F716" s="419" t="str">
        <f>+VLOOKUP(A716,cennik!A:B,2,FALSE)</f>
        <v>SEVROLL 06819 Fox II rączka 2,7m złoty/mosiądz</v>
      </c>
      <c r="G716" s="417"/>
      <c r="H716" s="417"/>
      <c r="I716" s="417" t="str">
        <f>J5</f>
        <v>złoty/mosiądz</v>
      </c>
      <c r="Z716" s="1" t="b">
        <f t="shared" si="17"/>
        <v>1</v>
      </c>
    </row>
    <row r="717" spans="1:26" ht="15" customHeight="1" x14ac:dyDescent="0.3">
      <c r="A717" s="421">
        <v>96429</v>
      </c>
      <c r="B717" s="419"/>
      <c r="C717" s="417" t="str">
        <f>J7</f>
        <v>j.brąz szczotkowany</v>
      </c>
      <c r="D717" s="421">
        <v>96429</v>
      </c>
      <c r="E717" s="419" t="str">
        <f>+VLOOKUP(A717,cennik!A:G,2,FALSE)</f>
        <v>SEVROLL Fox II rączka 2,7 m, oliwka szczotkowana</v>
      </c>
      <c r="F717" s="419" t="str">
        <f>+VLOOKUP(A717,cennik!A:B,2,FALSE)</f>
        <v>SEVROLL Fox II rączka 2,7 m, oliwka szczotkowana</v>
      </c>
      <c r="G717" s="417"/>
      <c r="H717" s="417"/>
      <c r="I717" s="417" t="str">
        <f>J7</f>
        <v>j.brąz szczotkowany</v>
      </c>
      <c r="Z717" s="1" t="b">
        <f t="shared" si="17"/>
        <v>1</v>
      </c>
    </row>
    <row r="718" spans="1:26" ht="15" customHeight="1" x14ac:dyDescent="0.3">
      <c r="A718" s="421">
        <v>96421</v>
      </c>
      <c r="B718" s="419"/>
      <c r="C718" s="417" t="str">
        <f>J4</f>
        <v>srebrny</v>
      </c>
      <c r="D718" s="421">
        <v>96421</v>
      </c>
      <c r="E718" s="419" t="str">
        <f>+VLOOKUP(A718,cennik!A:G,2,FALSE)</f>
        <v>SEVROLL Fox II rączka 2,7 m, srebrna</v>
      </c>
      <c r="F718" s="419" t="str">
        <f>+VLOOKUP(A718,cennik!A:B,2,FALSE)</f>
        <v>SEVROLL Fox II rączka 2,7 m, srebrna</v>
      </c>
      <c r="G718" s="417"/>
      <c r="H718" s="417"/>
      <c r="I718" s="417" t="str">
        <f>J4</f>
        <v>srebrny</v>
      </c>
      <c r="Z718" s="1" t="b">
        <f t="shared" si="17"/>
        <v>1</v>
      </c>
    </row>
    <row r="719" spans="1:26" ht="15" customHeight="1" x14ac:dyDescent="0.3">
      <c r="A719" s="421">
        <v>205074</v>
      </c>
      <c r="B719" s="419"/>
      <c r="C719" s="417" t="str">
        <f>J8</f>
        <v>szczot.oliwa ciemna</v>
      </c>
      <c r="D719" s="421">
        <v>205074</v>
      </c>
      <c r="E719" s="419" t="str">
        <f>+VLOOKUP(A719,cennik!A:G,2,FALSE)</f>
        <v>SEVROLL Fox II rączka 2,7 m koniak szczotkowany</v>
      </c>
      <c r="F719" s="419" t="str">
        <f>+VLOOKUP(A719,cennik!A:B,2,FALSE)</f>
        <v>SEVROLL Fox II rączka 2,7 m koniak szczotkowany</v>
      </c>
      <c r="G719" s="417"/>
      <c r="H719" s="417"/>
      <c r="I719" s="417" t="str">
        <f>J8</f>
        <v>szczot.oliwa ciemna</v>
      </c>
      <c r="Z719" s="1" t="b">
        <f t="shared" si="17"/>
        <v>1</v>
      </c>
    </row>
    <row r="720" spans="1:26" ht="15" customHeight="1" x14ac:dyDescent="0.3">
      <c r="A720" s="421">
        <v>205077</v>
      </c>
      <c r="B720" s="419"/>
      <c r="C720" s="417" t="str">
        <f>J9</f>
        <v>szczot.czarna</v>
      </c>
      <c r="D720" s="421">
        <v>205077</v>
      </c>
      <c r="E720" s="419" t="str">
        <f>+VLOOKUP(A720,cennik!A:G,2,FALSE)</f>
        <v>SEVROLL Fox II rączka 2,7m czarny szczotkowany</v>
      </c>
      <c r="F720" s="419" t="str">
        <f>+VLOOKUP(A720,cennik!A:B,2,FALSE)</f>
        <v>SEVROLL Fox II rączka 2,7m czarny szczotkowany</v>
      </c>
      <c r="G720" s="417"/>
      <c r="H720" s="417"/>
      <c r="I720" s="417" t="str">
        <f>J9</f>
        <v>szczot.czarna</v>
      </c>
      <c r="Z720" s="1" t="b">
        <f t="shared" si="17"/>
        <v>1</v>
      </c>
    </row>
    <row r="721" spans="1:26" ht="15" customHeight="1" x14ac:dyDescent="0.3">
      <c r="A721" s="421">
        <v>489302</v>
      </c>
      <c r="B721" s="419"/>
      <c r="C721" s="417" t="str">
        <f>J18</f>
        <v>biały mat</v>
      </c>
      <c r="D721" s="421">
        <v>489302</v>
      </c>
      <c r="E721" s="419" t="str">
        <f>+VLOOKUP(A721,cennik!A:G,2,FALSE)</f>
        <v>SEVROLL 05900 Fox II rączka 2,7m biały mat</v>
      </c>
      <c r="F721" s="419" t="str">
        <f>+VLOOKUP(A721,cennik!A:B,2,FALSE)</f>
        <v>SEVROLL 05900 Fox II rączka 2,7m biały mat</v>
      </c>
      <c r="G721" s="417"/>
      <c r="H721" s="417"/>
      <c r="I721" s="417" t="str">
        <f>J18</f>
        <v>biały mat</v>
      </c>
      <c r="Z721" s="1" t="b">
        <f t="shared" si="17"/>
        <v>1</v>
      </c>
    </row>
    <row r="722" spans="1:26" ht="15" customHeight="1" x14ac:dyDescent="0.3">
      <c r="A722" s="421">
        <v>265065</v>
      </c>
      <c r="B722" s="419"/>
      <c r="C722" s="417" t="str">
        <f>J15</f>
        <v> biały połysk</v>
      </c>
      <c r="D722" s="421">
        <v>265065</v>
      </c>
      <c r="E722" s="419" t="str">
        <f>+VLOOKUP(A722,cennik!A:G,2,FALSE)</f>
        <v>SEVROLL Fox II rączka 2,7m biały połysk</v>
      </c>
      <c r="F722" s="419" t="str">
        <f>+VLOOKUP(A722,cennik!A:B,2,FALSE)</f>
        <v>SEVROLL Fox II rączka 2,7m biały połysk</v>
      </c>
      <c r="G722" s="417"/>
      <c r="H722" s="417"/>
      <c r="I722" s="417" t="str">
        <f>J15</f>
        <v> biały połysk</v>
      </c>
      <c r="Z722" s="1" t="b">
        <f t="shared" si="17"/>
        <v>1</v>
      </c>
    </row>
    <row r="723" spans="1:26" ht="15" customHeight="1" x14ac:dyDescent="0.3">
      <c r="A723" s="418">
        <v>395506</v>
      </c>
      <c r="B723" s="417"/>
      <c r="C723" s="417" t="str">
        <f>J16</f>
        <v>czarny połysk</v>
      </c>
      <c r="D723" s="418">
        <v>395506</v>
      </c>
      <c r="E723" s="419" t="str">
        <f>+VLOOKUP(A723,cennik!A:G,2,FALSE)</f>
        <v>SEVROLL Fox II rączka 2,7m czarny połysk</v>
      </c>
      <c r="F723" s="419" t="str">
        <f>+VLOOKUP(A723,cennik!A:B,2,FALSE)</f>
        <v>SEVROLL Fox II rączka 2,7m czarny połysk</v>
      </c>
      <c r="G723" s="417"/>
      <c r="H723" s="417"/>
      <c r="I723" s="417" t="str">
        <f>J16</f>
        <v>czarny połysk</v>
      </c>
      <c r="Z723" s="1" t="b">
        <f t="shared" si="17"/>
        <v>1</v>
      </c>
    </row>
    <row r="724" spans="1:26" ht="15" customHeight="1" x14ac:dyDescent="0.3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rączka 2,7m grafit</v>
      </c>
      <c r="F724" s="419" t="str">
        <f>+VLOOKUP(A724,cennik!A:B,2,FALSE)</f>
        <v>SEVROLL 06019 Fox II rączka 2,7m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3">
      <c r="A725" s="417">
        <v>425057</v>
      </c>
      <c r="B725" s="417"/>
      <c r="C725" s="417" t="str">
        <f>J17</f>
        <v> czarny mat</v>
      </c>
      <c r="D725" s="417">
        <v>425057</v>
      </c>
      <c r="E725" s="419" t="str">
        <f>+VLOOKUP(A725,cennik!A:G,2,FALSE)</f>
        <v>SEVROLL Fox II rączka 2,7m czarny mat</v>
      </c>
      <c r="F725" s="419" t="str">
        <f>+VLOOKUP(A725,cennik!A:B,2,FALSE)</f>
        <v>SEVROLL Fox II rączka 2,7m czarny mat</v>
      </c>
      <c r="G725" s="417"/>
      <c r="H725" s="417"/>
      <c r="I725" s="417" t="str">
        <f>J17</f>
        <v> czarny mat</v>
      </c>
      <c r="Z725" s="1" t="b">
        <f t="shared" si="17"/>
        <v>1</v>
      </c>
    </row>
    <row r="726" spans="1:26" ht="15" customHeight="1" x14ac:dyDescent="0.3">
      <c r="A726" s="417">
        <v>524826</v>
      </c>
      <c r="B726" s="417"/>
      <c r="C726" s="417" t="str">
        <f>J22</f>
        <v>czarny lakier strukturalny</v>
      </c>
      <c r="D726" s="417">
        <v>524826</v>
      </c>
      <c r="E726" s="419" t="str">
        <f>+VLOOKUP(A726,cennik!A:G,2,FALSE)</f>
        <v>SEVROLL 06126 Fox II rączka 2,7m czarny lakier strukturalny</v>
      </c>
      <c r="F726" s="419" t="str">
        <f>+VLOOKUP(A726,cennik!A:B,2,FALSE)</f>
        <v>SEVROLL 06126 Fox II rączka 2,7m czarny lakier strukturalny</v>
      </c>
      <c r="G726" s="417"/>
      <c r="H726" s="417"/>
      <c r="I726" s="417" t="str">
        <f>J22</f>
        <v>czarny lakier strukturalny</v>
      </c>
    </row>
    <row r="727" spans="1:26" ht="15" customHeight="1" x14ac:dyDescent="0.3">
      <c r="A727" s="417">
        <v>372604</v>
      </c>
      <c r="B727" s="441" t="s">
        <v>2626</v>
      </c>
      <c r="C727" s="417" t="str">
        <f>J4</f>
        <v>srebrny</v>
      </c>
      <c r="D727" s="417">
        <v>372604</v>
      </c>
      <c r="E727" s="419" t="str">
        <f>+VLOOKUP(A727,cennik!A:G,2,FALSE)</f>
        <v>SEVROLL Rączka Vitara 2,7m srebrna</v>
      </c>
      <c r="F727" s="419" t="str">
        <f>+VLOOKUP(A727,cennik!A:B,2,FALSE)</f>
        <v>SEVROLL Rączka Vitara 2,7m srebrna</v>
      </c>
      <c r="G727" s="417"/>
      <c r="H727" s="417"/>
      <c r="I727" s="417"/>
      <c r="Z727" s="1" t="b">
        <f t="shared" si="17"/>
        <v>1</v>
      </c>
    </row>
    <row r="728" spans="1:26" ht="15" customHeight="1" x14ac:dyDescent="0.3">
      <c r="A728" s="417">
        <v>372605</v>
      </c>
      <c r="B728" s="441" t="s">
        <v>2626</v>
      </c>
      <c r="C728" s="417" t="str">
        <f>J6</f>
        <v>j.brąz</v>
      </c>
      <c r="D728" s="417">
        <v>372605</v>
      </c>
      <c r="E728" s="419" t="str">
        <f>+VLOOKUP(A728,cennik!A:G,2,FALSE)</f>
        <v>SEVROLL Rączka Vitara 2,7m oliwka</v>
      </c>
      <c r="F728" s="419" t="str">
        <f>+VLOOKUP(A728,cennik!A:B,2,FALSE)</f>
        <v>SEVROLL Rączka Vitara 2,7m oliwka</v>
      </c>
      <c r="G728" s="417"/>
      <c r="H728" s="417"/>
      <c r="I728" s="417"/>
      <c r="Z728" s="1" t="b">
        <f t="shared" si="17"/>
        <v>1</v>
      </c>
    </row>
    <row r="729" spans="1:26" ht="15" customHeight="1" x14ac:dyDescent="0.3">
      <c r="A729" s="417">
        <v>489309</v>
      </c>
      <c r="B729" s="441" t="s">
        <v>2626</v>
      </c>
      <c r="C729" s="417" t="str">
        <f>J17</f>
        <v> czarny mat</v>
      </c>
      <c r="D729" s="417">
        <v>489309</v>
      </c>
      <c r="E729" s="419" t="str">
        <f>+VLOOKUP(A729,cennik!A:G,2,FALSE)</f>
        <v>SEVROLL Rączka Vitara 2,7m czarny mat</v>
      </c>
      <c r="F729" s="419" t="str">
        <f>+VLOOKUP(A729,cennik!A:B,2,FALSE)</f>
        <v>SEVROLL Rączka Vitara 2,7m czarny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3">
      <c r="A730" s="417">
        <v>372606</v>
      </c>
      <c r="B730" s="441" t="s">
        <v>2626</v>
      </c>
      <c r="C730" s="417" t="str">
        <f>J15</f>
        <v> biały połysk</v>
      </c>
      <c r="D730" s="417">
        <v>372606</v>
      </c>
      <c r="E730" s="419" t="str">
        <f>+VLOOKUP(A730,cennik!A:G,2,FALSE)</f>
        <v>SEVROLL Rączka Vitara 2,7m biały błyszczący</v>
      </c>
      <c r="F730" s="419" t="str">
        <f>+VLOOKUP(A730,cennik!A:B,2,FALSE)</f>
        <v>SEVROLL Rączka Vitara 2,7m biały błyszczący</v>
      </c>
      <c r="G730" s="417"/>
      <c r="H730" s="417"/>
      <c r="I730" s="417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j.brąz</v>
      </c>
      <c r="D731" s="49">
        <v>245816</v>
      </c>
      <c r="E731" s="48" t="str">
        <f>+VLOOKUP(A731,cennik!A:G,2,FALSE)</f>
        <v>SEVROLL Focus II 18mm rączka 2,7m jasny brąz</v>
      </c>
      <c r="F731" s="48" t="str">
        <f>+VLOOKUP(A731,cennik!A:B,2,FALSE)</f>
        <v>SEVROLL Focus II 18mm rączka 2,7m jasny brąz</v>
      </c>
      <c r="I731" s="1" t="str">
        <f>J6</f>
        <v>j.brąz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srebrny</v>
      </c>
      <c r="D732" s="49">
        <v>245815</v>
      </c>
      <c r="E732" s="48" t="str">
        <f>+VLOOKUP(A732,cennik!A:G,2,FALSE)</f>
        <v>SEVROLL Focus II 18mm rączka 2,7m srebrny</v>
      </c>
      <c r="F732" s="48" t="str">
        <f>+VLOOKUP(A732,cennik!A:B,2,FALSE)</f>
        <v>SEVROLL Focus II 18mm rączka 2,7m srebrny</v>
      </c>
      <c r="I732" s="1" t="str">
        <f>J4</f>
        <v>srebrny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 czarny mat</v>
      </c>
      <c r="D733" s="49">
        <v>489301</v>
      </c>
      <c r="E733" s="48" t="str">
        <f>+VLOOKUP(A733,cennik!A:G,2,FALSE)</f>
        <v>SEVROLL 05903 Focus II 18mm rączka 2,7m</v>
      </c>
      <c r="F733" s="48" t="str">
        <f>+VLOOKUP(A733,cennik!A:B,2,FALSE)</f>
        <v>SEVROLL 05903 Focus II 18mm rączka 2,7m</v>
      </c>
      <c r="Z733" s="1" t="b">
        <f t="shared" si="17"/>
        <v>1</v>
      </c>
    </row>
    <row r="734" spans="1:26" ht="15" customHeight="1" x14ac:dyDescent="0.3">
      <c r="A734" s="49">
        <v>542589</v>
      </c>
      <c r="B734" s="48"/>
      <c r="C734" s="1" t="str">
        <f>J5</f>
        <v>złoty/mosiądz</v>
      </c>
      <c r="D734" s="49">
        <v>542589</v>
      </c>
      <c r="E734" s="48" t="str">
        <f>+VLOOKUP(A734,cennik!A:G,2,FALSE)</f>
        <v>SEVROLL 06818 Focus II 18 mm rączka 2,7 m, złota/mosiądz</v>
      </c>
      <c r="F734" s="48" t="str">
        <f>+VLOOKUP(A734,cennik!A:B,2,FALSE)</f>
        <v>SEVROLL 06818 Focus II 18 mm rączka 2,7 m, złota/mosiądz</v>
      </c>
      <c r="I734" s="1" t="str">
        <f>J5</f>
        <v>złoty/mosiądz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j.brąz</v>
      </c>
      <c r="D735" s="49">
        <v>90105</v>
      </c>
      <c r="E735" s="48" t="str">
        <f>+VLOOKUP(A735,cennik!A:G,2,FALSE)</f>
        <v>SEVROLL Universal 18 rączka 2,7 m, jasny brąz</v>
      </c>
      <c r="F735" s="48" t="str">
        <f>+VLOOKUP(A735,cennik!A:B,2,FALSE)</f>
        <v>SEVROLL Universal 18 rączka 2,7 m, jasny brąz</v>
      </c>
      <c r="I735" s="1" t="str">
        <f>J6</f>
        <v>j.brąz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srebrny</v>
      </c>
      <c r="D736" s="49">
        <v>90106</v>
      </c>
      <c r="E736" s="48" t="str">
        <f>+VLOOKUP(A736,cennik!A:G,2,FALSE)</f>
        <v>SEVROLL Universal 18 rączka 2,7 m, srebrna</v>
      </c>
      <c r="F736" s="48" t="str">
        <f>+VLOOKUP(A736,cennik!A:B,2,FALSE)</f>
        <v>SEVROLL Universal 18 rączka 2,7 m, srebrna</v>
      </c>
      <c r="I736" s="1" t="str">
        <f>J4</f>
        <v>srebrny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1700-srebrny</v>
      </c>
      <c r="D737" s="49">
        <v>98110</v>
      </c>
      <c r="E737" s="48" t="str">
        <f>+VLOOKUP(A737,cennik!A:G,2,FALSE)</f>
        <v>SEVROLL Comfort tor górny 1,7m srebrny</v>
      </c>
      <c r="F737" s="48" t="str">
        <f>+VLOOKUP(A737,cennik!A:B,2,FALSE)</f>
        <v>SEVROLL Comfort tor górny 1,7m srebrny</v>
      </c>
      <c r="H737" s="1" t="s">
        <v>464</v>
      </c>
      <c r="I737" s="1" t="str">
        <f>CONCATENATE(H737,"-",J4)</f>
        <v>1700-srebrny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2350-srebrny</v>
      </c>
      <c r="D738" s="49">
        <v>227321</v>
      </c>
      <c r="E738" s="48" t="str">
        <f>+VLOOKUP(A738,cennik!A:G,2,FALSE)</f>
        <v>SEVROLL Comfort tor górny 2,35m srebrny</v>
      </c>
      <c r="F738" s="48" t="str">
        <f>+VLOOKUP(A738,cennik!A:B,2,FALSE)</f>
        <v>SEVROLL Comfort tor górny 2,35m srebrny</v>
      </c>
      <c r="H738" s="1" t="s">
        <v>465</v>
      </c>
      <c r="I738" s="1" t="str">
        <f>CONCATENATE(H738,"-",J4)</f>
        <v>2350-srebrny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3000-srebrny</v>
      </c>
      <c r="D739" s="49">
        <v>227324</v>
      </c>
      <c r="E739" s="48" t="str">
        <f>+VLOOKUP(A739,cennik!A:G,2,FALSE)</f>
        <v>SEVROLL Comfort tor górny 3m srebrny</v>
      </c>
      <c r="F739" s="48" t="str">
        <f>+VLOOKUP(A739,cennik!A:B,2,FALSE)</f>
        <v>SEVROLL Comfort tor górny 3m srebrny</v>
      </c>
      <c r="H739" s="1" t="s">
        <v>466</v>
      </c>
      <c r="I739" s="1" t="str">
        <f>CONCATENATE(H739,"-",J4)</f>
        <v>3000-srebrny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4050-srebrny</v>
      </c>
      <c r="D740" s="49">
        <v>98079</v>
      </c>
      <c r="E740" s="48" t="str">
        <f>+VLOOKUP(A740,cennik!A:G,2,FALSE)</f>
        <v>SEVROLL Comfort tor górny 4,05m srebrny</v>
      </c>
      <c r="F740" s="48" t="str">
        <f>+VLOOKUP(A740,cennik!A:B,2,FALSE)</f>
        <v>SEVROLL Comfort tor górny 4,05m srebrny</v>
      </c>
      <c r="H740" s="1" t="s">
        <v>467</v>
      </c>
      <c r="I740" s="1" t="str">
        <f>CONCATENATE(H740,"-",J4)</f>
        <v>4050-srebrny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6000-srebrny</v>
      </c>
      <c r="D741" s="49">
        <v>227196</v>
      </c>
      <c r="E741" s="48" t="str">
        <f>+VLOOKUP(A741,cennik!A:G,2,FALSE)</f>
        <v>SEVROLL Comfort tor górny 6m srebrny</v>
      </c>
      <c r="F741" s="48" t="str">
        <f>+VLOOKUP(A741,cennik!A:B,2,FALSE)</f>
        <v>SEVROLL Comfort tor górny 6m srebrny</v>
      </c>
      <c r="H741" s="144" t="s">
        <v>536</v>
      </c>
      <c r="I741" s="1" t="str">
        <f>CONCATENATE(H741,"-",J4)</f>
        <v>6000-srebrny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1700-j.brąz</v>
      </c>
      <c r="D742" s="49">
        <v>98111</v>
      </c>
      <c r="E742" s="48" t="str">
        <f>+VLOOKUP(A742,cennik!A:G,2,FALSE)</f>
        <v>SEVROLL Comfort tor górny 1,7m jasny brąz</v>
      </c>
      <c r="F742" s="48" t="str">
        <f>+VLOOKUP(A742,cennik!A:B,2,FALSE)</f>
        <v>SEVROLL Comfort tor górny 1,7m jasny brąz</v>
      </c>
      <c r="H742" s="1" t="s">
        <v>464</v>
      </c>
      <c r="I742" s="1" t="str">
        <f>CONCATENATE(H742,"-",J6)</f>
        <v>1700-j.brąz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2350-j.brąz</v>
      </c>
      <c r="D743" s="49">
        <v>98113</v>
      </c>
      <c r="E743" s="48" t="str">
        <f>+VLOOKUP(A743,cennik!A:G,2,FALSE)</f>
        <v>SEVROLL Comfort tor górny 2,35m jasny brąz</v>
      </c>
      <c r="F743" s="48" t="str">
        <f>+VLOOKUP(A743,cennik!A:B,2,FALSE)</f>
        <v>SEVROLL Comfort tor górny 2,35m jasny brąz</v>
      </c>
      <c r="H743" s="1" t="s">
        <v>465</v>
      </c>
      <c r="I743" s="1" t="str">
        <f>CONCATENATE(H743,"-",J6)</f>
        <v>2350-j.brąz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3000-j.brąz</v>
      </c>
      <c r="D744" s="49">
        <v>98115</v>
      </c>
      <c r="E744" s="48" t="str">
        <f>+VLOOKUP(A744,cennik!A:G,2,FALSE)</f>
        <v>SEVROLL Comfort tor górny 3m jasny brąz</v>
      </c>
      <c r="F744" s="48" t="str">
        <f>+VLOOKUP(A744,cennik!A:B,2,FALSE)</f>
        <v>SEVROLL Comfort tor górny 3m jasny brąz</v>
      </c>
      <c r="H744" s="1" t="s">
        <v>466</v>
      </c>
      <c r="I744" s="1" t="str">
        <f>CONCATENATE(H744,"-",J6)</f>
        <v>3000-j.brąz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4050-j.brąz</v>
      </c>
      <c r="D745" s="49">
        <v>98117</v>
      </c>
      <c r="E745" s="48" t="str">
        <f>+VLOOKUP(A745,cennik!A:G,2,FALSE)</f>
        <v>SEVROLL Comfort tor górny 4,05m jasny brąz</v>
      </c>
      <c r="F745" s="48" t="str">
        <f>+VLOOKUP(A745,cennik!A:B,2,FALSE)</f>
        <v>SEVROLL Comfort tor górny 4,05m jasny brąz</v>
      </c>
      <c r="H745" s="1" t="s">
        <v>467</v>
      </c>
      <c r="I745" s="1" t="str">
        <f>CONCATENATE(H745,"-",J6)</f>
        <v>4050-j.brąz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6000-j.brąz</v>
      </c>
      <c r="D746" s="49">
        <v>227197</v>
      </c>
      <c r="E746" s="48" t="str">
        <f>+VLOOKUP(A746,cennik!A:G,2,FALSE)</f>
        <v>SEVROLL Comfort tor górny 6 m oliwka</v>
      </c>
      <c r="F746" s="48" t="str">
        <f>+VLOOKUP(A746,cennik!A:B,2,FALSE)</f>
        <v>SEVROLL Comfort tor górny 6 m oliwka</v>
      </c>
      <c r="H746" s="144" t="s">
        <v>536</v>
      </c>
      <c r="I746" s="1" t="str">
        <f>CONCATENATE(H746,"-",J6)</f>
        <v>6000-j.brąz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1700-srebrny</v>
      </c>
      <c r="D747" s="49">
        <v>163106</v>
      </c>
      <c r="E747" s="48" t="str">
        <f>+VLOOKUP(A747,cennik!A:G,2,FALSE)</f>
        <v>SEVROLL Doubler II tor dolny 1,7m srebrna</v>
      </c>
      <c r="F747" s="48" t="str">
        <f>+VLOOKUP(A747,cennik!A:B,2,FALSE)</f>
        <v>SEVROLL Doubler II tor dolny 1,7m srebrna</v>
      </c>
      <c r="H747" s="1" t="s">
        <v>464</v>
      </c>
      <c r="I747" s="1" t="str">
        <f>CONCATENATE(H747,"-",J4)</f>
        <v>1700-srebrny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2350-srebrny</v>
      </c>
      <c r="D748" s="49">
        <v>163107</v>
      </c>
      <c r="E748" s="48" t="str">
        <f>+VLOOKUP(A748,cennik!A:G,2,FALSE)</f>
        <v>SEVROLL 02850 Doubler II tor dolny 2,35m srebrny</v>
      </c>
      <c r="F748" s="48" t="str">
        <f>+VLOOKUP(A748,cennik!A:B,2,FALSE)</f>
        <v>SEVROLL 02850 Doubler II tor dolny 2,35m srebrny</v>
      </c>
      <c r="H748" s="1" t="s">
        <v>465</v>
      </c>
      <c r="I748" s="1" t="str">
        <f>CONCATENATE(H748,"-",J4)</f>
        <v>2350-srebrny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3000-srebrny</v>
      </c>
      <c r="D749" s="49">
        <v>163108</v>
      </c>
      <c r="E749" s="48" t="str">
        <f>+VLOOKUP(A749,cennik!A:G,2,FALSE)</f>
        <v>SEVROLL 02851 Doubler II tor dolny 3m srebrny</v>
      </c>
      <c r="F749" s="48" t="str">
        <f>+VLOOKUP(A749,cennik!A:B,2,FALSE)</f>
        <v>SEVROLL 02851 Doubler II tor dolny 3m srebrny</v>
      </c>
      <c r="H749" s="1" t="s">
        <v>466</v>
      </c>
      <c r="I749" s="1" t="str">
        <f>CONCATENATE(H749,"-",J4)</f>
        <v>3000-srebrny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4050-srebrny</v>
      </c>
      <c r="D750" s="49">
        <v>98107</v>
      </c>
      <c r="E750" s="48" t="str">
        <f>+VLOOKUP(A750,cennik!A:G,2,FALSE)</f>
        <v>SEVROLL Doubler II tor dolny 4,05m srebrny</v>
      </c>
      <c r="F750" s="48" t="str">
        <f>+VLOOKUP(A750,cennik!A:B,2,FALSE)</f>
        <v>SEVROLL Doubler II tor dolny 4,05m srebrny</v>
      </c>
      <c r="H750" s="1" t="s">
        <v>467</v>
      </c>
      <c r="I750" s="1" t="str">
        <f>CONCATENATE(H750,"-",J4)</f>
        <v>4050-srebrny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6000-srebrny</v>
      </c>
      <c r="D751" s="49">
        <v>163110</v>
      </c>
      <c r="E751" s="48" t="str">
        <f>+VLOOKUP(A751,cennik!A:G,2,FALSE)</f>
        <v>SEVROLL Doubler II tor dolny 6m srebrna</v>
      </c>
      <c r="F751" s="48" t="str">
        <f>+VLOOKUP(A751,cennik!A:B,2,FALSE)</f>
        <v>SEVROLL Doubler II tor dolny 6m srebrna</v>
      </c>
      <c r="H751" s="144" t="s">
        <v>536</v>
      </c>
      <c r="I751" s="1" t="str">
        <f>CONCATENATE(H751,"-",J4)</f>
        <v>6000-srebrny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1700-j.brąz</v>
      </c>
      <c r="D752" s="49">
        <v>163111</v>
      </c>
      <c r="E752" s="48" t="str">
        <f>+VLOOKUP(A752,cennik!A:G,2,FALSE)</f>
        <v>SEVROLL Doubler II tor dolny 1,7m jasny brąz</v>
      </c>
      <c r="F752" s="48" t="str">
        <f>+VLOOKUP(A752,cennik!A:B,2,FALSE)</f>
        <v>SEVROLL Doubler II tor dolny 1,7m jasny brąz</v>
      </c>
      <c r="H752" s="1" t="s">
        <v>464</v>
      </c>
      <c r="I752" s="1" t="str">
        <f>CONCATENATE(H752,"-",J6)</f>
        <v>1700-j.brąz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2350-j.brąz</v>
      </c>
      <c r="D753" s="49">
        <v>163112</v>
      </c>
      <c r="E753" s="48" t="str">
        <f>+VLOOKUP(A753,cennik!A:G,2,FALSE)</f>
        <v>SEVROLL Doubler II tor dolny 2,35m jasny brąz</v>
      </c>
      <c r="F753" s="48" t="str">
        <f>+VLOOKUP(A753,cennik!A:B,2,FALSE)</f>
        <v>SEVROLL Doubler II tor dolny 2,35m jasny brąz</v>
      </c>
      <c r="H753" s="1" t="s">
        <v>465</v>
      </c>
      <c r="I753" s="1" t="str">
        <f>CONCATENATE(H753,"-",J6)</f>
        <v>2350-j.brąz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3000-j.brąz</v>
      </c>
      <c r="D754" s="49">
        <v>163113</v>
      </c>
      <c r="E754" s="48" t="str">
        <f>+VLOOKUP(A754,cennik!A:G,2,FALSE)</f>
        <v>SEVROLL Doubler II tor dolny 3m jasny brąz</v>
      </c>
      <c r="F754" s="48" t="str">
        <f>+VLOOKUP(A754,cennik!A:B,2,FALSE)</f>
        <v>SEVROLL Doubler II tor dolny 3m jasny brąz</v>
      </c>
      <c r="H754" s="1" t="s">
        <v>466</v>
      </c>
      <c r="I754" s="1" t="str">
        <f>CONCATENATE(H754,"-",J6)</f>
        <v>3000-j.brąz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4050-j.brąz</v>
      </c>
      <c r="D755" s="49">
        <v>163114</v>
      </c>
      <c r="E755" s="48" t="str">
        <f>+VLOOKUP(A755,cennik!A:G,2,FALSE)</f>
        <v>SEVROLL Doubler II tor dolny 4,05m jasny brąz</v>
      </c>
      <c r="F755" s="48" t="str">
        <f>+VLOOKUP(A755,cennik!A:B,2,FALSE)</f>
        <v>SEVROLL Doubler II tor dolny 4,05m jasny brąz</v>
      </c>
      <c r="H755" s="1" t="s">
        <v>467</v>
      </c>
      <c r="I755" s="1" t="str">
        <f>CONCATENATE(H755,"-",J6)</f>
        <v>4050-j.brąz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6000-j.brąz</v>
      </c>
      <c r="D756" s="49">
        <v>163115</v>
      </c>
      <c r="E756" s="48" t="str">
        <f>+VLOOKUP(A756,cennik!A:G,2,FALSE)</f>
        <v>SEVROLL Doubler II tor dolny 6m jasny brąz</v>
      </c>
      <c r="F756" s="48" t="str">
        <f>+VLOOKUP(A756,cennik!A:B,2,FALSE)</f>
        <v>SEVROLL Doubler II tor dolny 6m jasny brąz</v>
      </c>
      <c r="H756" s="144" t="s">
        <v>536</v>
      </c>
      <c r="I756" s="1" t="str">
        <f>CONCATENATE(H756,"-",J6)</f>
        <v>6000-j.brąz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1700-srebrny</v>
      </c>
      <c r="D757" s="49">
        <v>163122</v>
      </c>
      <c r="E757" s="48" t="str">
        <f>+VLOOKUP(A757,cennik!A:G,2,FALSE)</f>
        <v>SEVROLL Doubler II maskownica 1,7m srebrna</v>
      </c>
      <c r="F757" s="48" t="str">
        <f>+VLOOKUP(A757,cennik!A:B,2,FALSE)</f>
        <v>SEVROLL Doubler II maskownica 1,7m srebrna</v>
      </c>
      <c r="H757" s="1" t="s">
        <v>464</v>
      </c>
      <c r="I757" s="1" t="str">
        <f>CONCATENATE(H757,"-",J4)</f>
        <v>1700-srebrny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2350-srebrny</v>
      </c>
      <c r="D758" s="49">
        <v>163123</v>
      </c>
      <c r="E758" s="48" t="str">
        <f>+VLOOKUP(A758,cennik!A:G,2,FALSE)</f>
        <v>SEVROLL 02865 Doubler II maskownica 2,35m srebrna</v>
      </c>
      <c r="F758" s="48" t="str">
        <f>+VLOOKUP(A758,cennik!A:B,2,FALSE)</f>
        <v>SEVROLL 02865 Doubler II maskownica 2,35m srebrna</v>
      </c>
      <c r="H758" s="1" t="s">
        <v>465</v>
      </c>
      <c r="I758" s="1" t="str">
        <f>CONCATENATE(H758,"-",J4)</f>
        <v>2350-srebrny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3000-srebrny</v>
      </c>
      <c r="D759" s="49">
        <v>163125</v>
      </c>
      <c r="E759" s="48" t="str">
        <f>+VLOOKUP(A759,cennik!A:G,2,FALSE)</f>
        <v>SEVROLL Doubler II maskownica 3m srebrny</v>
      </c>
      <c r="F759" s="48" t="str">
        <f>+VLOOKUP(A759,cennik!A:B,2,FALSE)</f>
        <v>SEVROLL Doubler II maskownica 3m srebrny</v>
      </c>
      <c r="H759" s="1" t="s">
        <v>466</v>
      </c>
      <c r="I759" s="1" t="str">
        <f>CONCATENATE(H759,"-",J4)</f>
        <v>3000-srebrny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4050-srebrny</v>
      </c>
      <c r="D760" s="49">
        <v>162670</v>
      </c>
      <c r="E760" s="48" t="str">
        <f>+VLOOKUP(A760,cennik!A:G,2,FALSE)</f>
        <v>SEVROLL 02867 Doubler II maskownica 4,05m srebrna</v>
      </c>
      <c r="F760" s="48" t="str">
        <f>+VLOOKUP(A760,cennik!A:B,2,FALSE)</f>
        <v>SEVROLL 02867 Doubler II maskownica 4,05m srebrna</v>
      </c>
      <c r="H760" s="1" t="s">
        <v>467</v>
      </c>
      <c r="I760" s="1" t="str">
        <f>CONCATENATE(H760,"-",J4)</f>
        <v>4050-srebrny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6000-srebrny</v>
      </c>
      <c r="D761" s="49">
        <v>163128</v>
      </c>
      <c r="E761" s="48" t="str">
        <f>+VLOOKUP(A761,cennik!A:G,2,FALSE)</f>
        <v>SEVROLL Doubler II maskownica 6m srebrna</v>
      </c>
      <c r="F761" s="48" t="str">
        <f>+VLOOKUP(A761,cennik!A:B,2,FALSE)</f>
        <v>SEVROLL Doubler II maskownica 6m srebrna</v>
      </c>
      <c r="H761" s="144" t="s">
        <v>536</v>
      </c>
      <c r="I761" s="1" t="str">
        <f>CONCATENATE(H761,"-",J4)</f>
        <v>6000-srebrny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1700-j.brąz</v>
      </c>
      <c r="D762" s="49">
        <v>163129</v>
      </c>
      <c r="E762" s="48" t="str">
        <f>+VLOOKUP(A762,cennik!A:G,2,FALSE)</f>
        <v>SEVROLL Doubler II maskownica 1,7m jasny brąz</v>
      </c>
      <c r="F762" s="48" t="str">
        <f>+VLOOKUP(A762,cennik!A:B,2,FALSE)</f>
        <v>SEVROLL Doubler II maskownica 1,7m jasny brąz</v>
      </c>
      <c r="H762" s="1" t="s">
        <v>464</v>
      </c>
      <c r="I762" s="1" t="str">
        <f>CONCATENATE(H762,"-",J6)</f>
        <v>1700-j.brąz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2350-j.brąz</v>
      </c>
      <c r="D763" s="49">
        <v>163131</v>
      </c>
      <c r="E763" s="48" t="str">
        <f>+VLOOKUP(A763,cennik!A:G,2,FALSE)</f>
        <v>SEVROLL Doubler II maskownica 2,35m jasny brąz</v>
      </c>
      <c r="F763" s="48" t="str">
        <f>+VLOOKUP(A763,cennik!A:B,2,FALSE)</f>
        <v>SEVROLL Doubler II maskownica 2,35m jasny brąz</v>
      </c>
      <c r="H763" s="1" t="s">
        <v>465</v>
      </c>
      <c r="I763" s="1" t="str">
        <f>CONCATENATE(H763,"-",J6)</f>
        <v>2350-j.brąz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3000-j.brąz</v>
      </c>
      <c r="D764" s="49">
        <v>163132</v>
      </c>
      <c r="E764" s="48" t="str">
        <f>+VLOOKUP(A764,cennik!A:G,2,FALSE)</f>
        <v>SEVROLL Doubler II maskownica 3m jasny brąz</v>
      </c>
      <c r="F764" s="48" t="str">
        <f>+VLOOKUP(A764,cennik!A:B,2,FALSE)</f>
        <v>SEVROLL Doubler II maskownica 3m jasny brąz</v>
      </c>
      <c r="H764" s="1" t="s">
        <v>466</v>
      </c>
      <c r="I764" s="1" t="str">
        <f>CONCATENATE(H764,"-",J6)</f>
        <v>3000-j.brąz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4050-j.brąz</v>
      </c>
      <c r="D765" s="49">
        <v>163133</v>
      </c>
      <c r="E765" s="48" t="str">
        <f>+VLOOKUP(A765,cennik!A:G,2,FALSE)</f>
        <v>SEVROLL Doubler II maskownica 4,05m jasny brąz</v>
      </c>
      <c r="F765" s="48" t="str">
        <f>+VLOOKUP(A765,cennik!A:B,2,FALSE)</f>
        <v>SEVROLL Doubler II maskownica 4,05m jasny brąz</v>
      </c>
      <c r="H765" s="1" t="s">
        <v>467</v>
      </c>
      <c r="I765" s="1" t="str">
        <f>CONCATENATE(H765,"-",J6)</f>
        <v>4050-j.brąz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6000-j.brąz</v>
      </c>
      <c r="D766" s="49">
        <v>163134</v>
      </c>
      <c r="E766" s="48" t="str">
        <f>+VLOOKUP(A766,cennik!A:G,2,FALSE)</f>
        <v>SEVROLL Doubler II maskownica 6m jasny brąz</v>
      </c>
      <c r="F766" s="48" t="str">
        <f>+VLOOKUP(A766,cennik!A:B,2,FALSE)</f>
        <v>SEVROLL Doubler II maskownica 6m jasny brąz</v>
      </c>
      <c r="H766" s="144" t="s">
        <v>536</v>
      </c>
      <c r="I766" s="1" t="str">
        <f>CONCATENATE(H766,"-",J6)</f>
        <v>6000-j.brąz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1700-srebrny</v>
      </c>
      <c r="D767" s="49">
        <v>89106</v>
      </c>
      <c r="E767" s="48" t="str">
        <f>+VLOOKUP(A767,cennik!A:G,2,FALSE)</f>
        <v>SEVROLL 01023 Gemini horní vedení 1,7m stříbrná</v>
      </c>
      <c r="F767" s="48" t="str">
        <f>+VLOOKUP(A767,cennik!A:B,2,FALSE)</f>
        <v>SEVROLL 01023 Gemini horní vedení 1,7m stříbrná</v>
      </c>
      <c r="H767" s="1">
        <v>1700</v>
      </c>
      <c r="I767" s="1" t="str">
        <f>CONCATENATE(H767,"-",J4)</f>
        <v>1700-srebrny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2350-srebrny</v>
      </c>
      <c r="D768" s="49">
        <v>89109</v>
      </c>
      <c r="E768" s="48" t="str">
        <f>+VLOOKUP(A768,cennik!A:G,2,FALSE)</f>
        <v>SEVROLL 01025 Gemini horní vedení 2,35m stříbrná</v>
      </c>
      <c r="F768" s="48" t="str">
        <f>+VLOOKUP(A768,cennik!A:B,2,FALSE)</f>
        <v>SEVROLL 01025 Gemini horní vedení 2,35m stříbrná</v>
      </c>
      <c r="H768" s="1">
        <v>2350</v>
      </c>
      <c r="I768" s="1" t="str">
        <f>CONCATENATE(H768,"-",J4)</f>
        <v>2350-srebrny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3000-srebrny</v>
      </c>
      <c r="D769" s="49">
        <v>89112</v>
      </c>
      <c r="E769" s="48" t="str">
        <f>+VLOOKUP(A769,cennik!A:G,2,FALSE)</f>
        <v>SEVROLL 01026 Gemini horní vedení 3m stříbrná</v>
      </c>
      <c r="F769" s="48" t="str">
        <f>+VLOOKUP(A769,cennik!A:B,2,FALSE)</f>
        <v>SEVROLL 01026 Gemini horní vedení 3m stříbrná</v>
      </c>
      <c r="H769" s="1">
        <v>3000</v>
      </c>
      <c r="I769" s="1" t="str">
        <f>CONCATENATE(H769,"-",J4)</f>
        <v>3000-srebrny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4050-srebrny</v>
      </c>
      <c r="D770" s="49">
        <v>89115</v>
      </c>
      <c r="E770" s="48" t="str">
        <f>+VLOOKUP(A770,cennik!A:G,2,FALSE)</f>
        <v>SEVROLL 01469 Gemini horní vedení 4,05m stříbrná</v>
      </c>
      <c r="F770" s="48" t="str">
        <f>+VLOOKUP(A770,cennik!A:B,2,FALSE)</f>
        <v>SEVROLL 01469 Gemini horní vedení 4,05m stříbrná</v>
      </c>
      <c r="H770" s="1">
        <v>4050</v>
      </c>
      <c r="I770" s="1" t="str">
        <f>CONCATENATE(H770,"-",J4)</f>
        <v>4050-srebrny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6000-srebrny</v>
      </c>
      <c r="D771" s="49">
        <v>134933</v>
      </c>
      <c r="E771" s="48" t="str">
        <f>+VLOOKUP(A771,cennik!A:G,2,FALSE)</f>
        <v>SEVROLL Gemini tor górny 6m, srebrny</v>
      </c>
      <c r="F771" s="48" t="str">
        <f>+VLOOKUP(A771,cennik!A:B,2,FALSE)</f>
        <v>SEVROLL Gemini tor górny 6m, srebrny</v>
      </c>
      <c r="H771" s="164">
        <v>6000</v>
      </c>
      <c r="I771" s="1" t="str">
        <f>CONCATENATE(H771,"-",J4)</f>
        <v>6000-srebrny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1700-srebrny</v>
      </c>
      <c r="D772" s="49">
        <v>84385</v>
      </c>
      <c r="E772" s="48" t="str">
        <f>+VLOOKUP(A772,cennik!A:G,2,FALSE)</f>
        <v>SEVROLL Elegant II tor dolny 1,7m srebrny</v>
      </c>
      <c r="F772" s="48" t="str">
        <f>+VLOOKUP(A772,cennik!A:B,2,FALSE)</f>
        <v>SEVROLL Elegant II tor dolny 1,7m srebrny</v>
      </c>
      <c r="H772" s="1">
        <v>1700</v>
      </c>
      <c r="I772" s="1" t="str">
        <f>CONCATENATE(H772,"-",J4)</f>
        <v>1700-srebrny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2350-srebrny</v>
      </c>
      <c r="D773" s="49">
        <v>84388</v>
      </c>
      <c r="E773" s="48" t="str">
        <f>+VLOOKUP(A773,cennik!A:G,2,FALSE)</f>
        <v>SEVROLL Elegant II tor dolny 2,35m srebrny</v>
      </c>
      <c r="F773" s="48" t="str">
        <f>+VLOOKUP(A773,cennik!A:B,2,FALSE)</f>
        <v>SEVROLL Elegant II tor dolny 2,35m srebrny</v>
      </c>
      <c r="H773" s="1">
        <v>2350</v>
      </c>
      <c r="I773" s="1" t="str">
        <f>CONCATENATE(H773,"-",J4)</f>
        <v>2350-srebrny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3000-srebrny</v>
      </c>
      <c r="D774" s="49">
        <v>84391</v>
      </c>
      <c r="E774" s="48" t="str">
        <f>+VLOOKUP(A774,cennik!A:G,2,FALSE)</f>
        <v>SEVROLL Elegant II tor dolny 3m srebrny</v>
      </c>
      <c r="F774" s="48" t="str">
        <f>+VLOOKUP(A774,cennik!A:B,2,FALSE)</f>
        <v>SEVROLL Elegant II tor dolny 3m srebrny</v>
      </c>
      <c r="H774" s="1">
        <v>3000</v>
      </c>
      <c r="I774" s="1" t="str">
        <f>CONCATENATE(H774,"-",J4)</f>
        <v>3000-srebrny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4050-srebrny</v>
      </c>
      <c r="D775" s="49">
        <v>84394</v>
      </c>
      <c r="E775" s="48" t="str">
        <f>+VLOOKUP(A775,cennik!A:G,2,FALSE)</f>
        <v>SEVROLL Elegant II tor dolny 4,05m srebrny</v>
      </c>
      <c r="F775" s="48" t="str">
        <f>+VLOOKUP(A775,cennik!A:B,2,FALSE)</f>
        <v>SEVROLL Elegant II tor dolny 4,05m srebrny</v>
      </c>
      <c r="H775" s="1">
        <v>4050</v>
      </c>
      <c r="I775" s="1" t="str">
        <f>CONCATENATE(H775,"-",J4)</f>
        <v>4050-srebrny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6000-srebrny</v>
      </c>
      <c r="D776" s="49">
        <v>350687</v>
      </c>
      <c r="E776" s="48" t="str">
        <f>+VLOOKUP(A776,cennik!A:G,2,FALSE)</f>
        <v>SEVROLL Elegant II tor dolny 6m, srebrny</v>
      </c>
      <c r="F776" s="48" t="str">
        <f>+VLOOKUP(A776,cennik!A:B,2,FALSE)</f>
        <v>SEVROLL Elegant II tor dolny 6m, srebrny</v>
      </c>
      <c r="H776" s="164">
        <v>6000</v>
      </c>
      <c r="I776" s="1" t="str">
        <f>CONCATENATE(H776,"-",J4)</f>
        <v>6000-srebrny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1700-srebrny</v>
      </c>
      <c r="D777" s="49">
        <v>496366</v>
      </c>
      <c r="E777" s="48" t="str">
        <f>+VLOOKUP(A777,cennik!A:G,2,FALSE)</f>
        <v>SEVROLL 05792 GM 18 tor 1,7 m srebrny</v>
      </c>
      <c r="F777" s="48" t="str">
        <f>+VLOOKUP(A777,cennik!A:B,2,FALSE)</f>
        <v>SEVROLL 05792 GM 18 tor 1,7 m srebrny</v>
      </c>
      <c r="H777" s="1">
        <v>1700</v>
      </c>
      <c r="I777" s="1" t="str">
        <f>CONCATENATE(H777,"-",J4)</f>
        <v>1700-srebrny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2350-srebrny</v>
      </c>
      <c r="D778" s="49">
        <v>496367</v>
      </c>
      <c r="E778" s="48" t="str">
        <f>+VLOOKUP(A778,cennik!A:G,2,FALSE)</f>
        <v>SEVROLL 05793 GM 18 tor 2,35 m, srebrny</v>
      </c>
      <c r="F778" s="48" t="str">
        <f>+VLOOKUP(A778,cennik!A:B,2,FALSE)</f>
        <v>SEVROLL 05793 GM 18 tor 2,35 m, srebrny</v>
      </c>
      <c r="H778" s="1">
        <v>2350</v>
      </c>
      <c r="I778" s="1" t="str">
        <f>CONCATENATE(H778,"-",J4)</f>
        <v>2350-srebrny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1700-j.brąz</v>
      </c>
      <c r="D779" s="49">
        <v>496970</v>
      </c>
      <c r="E779" s="48" t="str">
        <f>+VLOOKUP(A779,cennik!A:G,2,FALSE)</f>
        <v>SEVROLL 05795 GM 18 listwa pozioma górna 1,7m j.brąz</v>
      </c>
      <c r="F779" s="48" t="str">
        <f>+VLOOKUP(A779,cennik!A:B,2,FALSE)</f>
        <v>SEVROLL 05795 GM 18 listwa pozioma górna 1,7m j.brąz</v>
      </c>
      <c r="H779" s="1">
        <v>1700</v>
      </c>
      <c r="I779" s="1" t="str">
        <f>CONCATENATE(H779,"-",J6)</f>
        <v>1700-j.brąz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2350-j.brąz</v>
      </c>
      <c r="D780" s="49">
        <v>496971</v>
      </c>
      <c r="E780" s="48" t="str">
        <f>+VLOOKUP(A780,cennik!A:G,2,FALSE)</f>
        <v>SEVROLL 05796 GM 18 tor 2,35m, j.brąz</v>
      </c>
      <c r="F780" s="48" t="str">
        <f>+VLOOKUP(A780,cennik!A:B,2,FALSE)</f>
        <v>SEVROLL 05796 GM 18 tor 2,35m, j.brąz</v>
      </c>
      <c r="H780" s="1">
        <v>2350</v>
      </c>
      <c r="I780" s="1" t="str">
        <f>CONCATENATE(H780,"-",J6)</f>
        <v>2350-j.brąz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3000-j.brąz</v>
      </c>
      <c r="D781" s="49">
        <v>496972</v>
      </c>
      <c r="E781" s="48" t="str">
        <f>+VLOOKUP(A781,cennik!A:G,2,FALSE)</f>
        <v>SEVROLL 05797 GM 18 listwa pozioma górna 3m, jasny brąz</v>
      </c>
      <c r="F781" s="48" t="str">
        <f>+VLOOKUP(A781,cennik!A:B,2,FALSE)</f>
        <v>SEVROLL 05797 GM 18 listwa pozioma górna 3m, jasny brąz</v>
      </c>
      <c r="H781" s="1">
        <v>3000</v>
      </c>
      <c r="I781" s="1" t="str">
        <f>CONCATENATE(H781,"-",J6)</f>
        <v>3000-j.brąz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 czarny mat</v>
      </c>
      <c r="D782" s="49">
        <v>496974</v>
      </c>
      <c r="E782" s="48" t="str">
        <f>+VLOOKUP(A782,cennik!A:G,2,FALSE)</f>
        <v>SEVROLL 05918 GM 18 listwa pozioma górna 1,7m czarny mat</v>
      </c>
      <c r="F782" s="48" t="str">
        <f>+VLOOKUP(A782,cennik!A:B,2,FALSE)</f>
        <v>SEVROLL 05918 GM 18 listwa pozioma górna 1,7m czarny mat</v>
      </c>
      <c r="H782" s="1">
        <v>1700</v>
      </c>
      <c r="I782" s="1" t="str">
        <f>CONCATENATE(H782,"-",J17)</f>
        <v>1700- czarny mat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 czarny mat</v>
      </c>
      <c r="D783" s="49">
        <v>496977</v>
      </c>
      <c r="E783" s="48" t="str">
        <f>+VLOOKUP(A783,cennik!A:G,2,FALSE)</f>
        <v>SEVROLL 05919 GM 18 listwa pozioma górna 2,35m, czarny mat</v>
      </c>
      <c r="F783" s="48" t="str">
        <f>+VLOOKUP(A783,cennik!A:B,2,FALSE)</f>
        <v>SEVROLL 05919 GM 18 listwa pozioma górna 2,35m, czarny mat</v>
      </c>
      <c r="H783" s="1">
        <v>2350</v>
      </c>
      <c r="I783" s="1" t="str">
        <f>CONCATENATE(H783,"-",J17)</f>
        <v>2350- czarny mat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 czarny mat</v>
      </c>
      <c r="D784" s="49">
        <v>496979</v>
      </c>
      <c r="E784" s="48" t="str">
        <f>+VLOOKUP(A784,cennik!A:G,2,FALSE)</f>
        <v>SEVROLL 05920 GM 18 listwa pozioma górna 3m czarny mat</v>
      </c>
      <c r="F784" s="48" t="str">
        <f>+VLOOKUP(A784,cennik!A:B,2,FALSE)</f>
        <v>SEVROLL 05920 GM 18 listwa pozioma górna 3m czarny mat</v>
      </c>
      <c r="H784" s="1">
        <v>3000</v>
      </c>
      <c r="I784" s="1" t="str">
        <f>CONCATENATE(H784,"-",J17)</f>
        <v>3000- czarny mat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3000-srebrny</v>
      </c>
      <c r="D785" s="49">
        <v>496368</v>
      </c>
      <c r="E785" s="48" t="str">
        <f>+VLOOKUP(A785,cennik!A:G,2,FALSE)</f>
        <v>SEVROLL 05794 GM 18 Maxim tor 3 m, srebrny</v>
      </c>
      <c r="F785" s="48" t="str">
        <f>+VLOOKUP(A785,cennik!A:B,2,FALSE)</f>
        <v>SEVROLL 05794 GM 18 Maxim tor 3 m, srebrny</v>
      </c>
      <c r="H785" s="1">
        <v>3000</v>
      </c>
      <c r="I785" s="1" t="str">
        <f>CONCATENATE(H785,"-",J4)</f>
        <v>3000-srebrny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4300-srebrny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4300-srebrny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6000-srebrny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6000-srebrny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1700-srebrny</v>
      </c>
      <c r="D788" s="49">
        <v>318657</v>
      </c>
      <c r="E788" s="48" t="str">
        <f>+VLOOKUP(A788,cennik!A:G,2,FALSE)</f>
        <v>SEVROLL zaślepka do toru Elegant II 1,7m srebrny</v>
      </c>
      <c r="F788" s="48" t="str">
        <f>+VLOOKUP(A788,cennik!A:B,2,FALSE)</f>
        <v>SEVROLL zaślepka do toru Elegant II 1,7m srebrny</v>
      </c>
      <c r="H788" s="1">
        <v>1700</v>
      </c>
      <c r="I788" s="1" t="str">
        <f>CONCATENATE(H788,"-",J4)</f>
        <v>1700-srebrny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2350-srebrny</v>
      </c>
      <c r="D789" s="49">
        <v>318660</v>
      </c>
      <c r="E789" s="48" t="str">
        <f>+VLOOKUP(A789,cennik!A:G,2,FALSE)</f>
        <v>SEVROLL zaślepka do toru Elegant II 2,35m srebrny</v>
      </c>
      <c r="F789" s="48" t="str">
        <f>+VLOOKUP(A789,cennik!A:B,2,FALSE)</f>
        <v>SEVROLL zaślepka do toru Elegant II 2,35m srebrny</v>
      </c>
      <c r="H789" s="1">
        <v>2350</v>
      </c>
      <c r="I789" s="1" t="str">
        <f>CONCATENATE(H789,"-",J4)</f>
        <v>2350-srebrny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3000-srebrny</v>
      </c>
      <c r="D790" s="49">
        <v>345408</v>
      </c>
      <c r="E790" s="48" t="str">
        <f>+VLOOKUP(A790,cennik!A:G,2,FALSE)</f>
        <v>SEVROLL zaślepka do toru Elegant II 3m srebrny</v>
      </c>
      <c r="F790" s="48" t="str">
        <f>+VLOOKUP(A790,cennik!A:B,2,FALSE)</f>
        <v>SEVROLL zaślepka do toru Elegant II 3m srebrny</v>
      </c>
      <c r="H790" s="1">
        <v>3000</v>
      </c>
      <c r="I790" s="1" t="str">
        <f>CONCATENATE(H790,"-",J4)</f>
        <v>3000-srebrny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4050-srebrny</v>
      </c>
      <c r="D791" s="49">
        <v>345776</v>
      </c>
      <c r="E791" s="48" t="str">
        <f>+VLOOKUP(A791,cennik!A:G,2,FALSE)</f>
        <v>SEVROLL zaślepka do toru Elegant II 4,05m srebrny</v>
      </c>
      <c r="F791" s="48" t="str">
        <f>+VLOOKUP(A791,cennik!A:B,2,FALSE)</f>
        <v>SEVROLL zaślepka do toru Elegant II 4,05m srebrny</v>
      </c>
      <c r="H791" s="1">
        <v>4050</v>
      </c>
      <c r="I791" s="1" t="str">
        <f>CONCATENATE(H791,"-",J4)</f>
        <v>4050-srebrny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6000-srebrny</v>
      </c>
      <c r="D792" s="49">
        <v>346118</v>
      </c>
      <c r="E792" s="48" t="str">
        <f>+VLOOKUP(A792,cennik!A:G,2,FALSE)</f>
        <v>SEVROLL maska do toru Elegant II 6 m srebrny</v>
      </c>
      <c r="F792" s="48" t="str">
        <f>+VLOOKUP(A792,cennik!A:B,2,FALSE)</f>
        <v>SEVROLL maska do toru Elegant II 6 m srebrny</v>
      </c>
      <c r="H792" s="165">
        <v>6000</v>
      </c>
      <c r="I792" s="1" t="str">
        <f>CONCATENATE(H792,"-",J4)</f>
        <v>6000-srebrny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1700-srebrny</v>
      </c>
      <c r="D793" s="49">
        <v>496369</v>
      </c>
      <c r="E793" s="48" t="str">
        <f>+VLOOKUP(A793,cennik!A:G,2,FALSE)</f>
        <v>SEVROLL 05798 GM 18 maskownica dolna 1,7 m, 18 mm, srebrna</v>
      </c>
      <c r="F793" s="48" t="str">
        <f>+VLOOKUP(A793,cennik!A:B,2,FALSE)</f>
        <v>SEVROLL 05798 GM 18 maskownica dolna 1,7 m, 18 mm, srebrna</v>
      </c>
      <c r="H793" s="1">
        <v>1700</v>
      </c>
      <c r="I793" s="1" t="str">
        <f>CONCATENATE(H793,"-",J4)</f>
        <v>1700-srebrny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2350-srebrny</v>
      </c>
      <c r="D794" s="49">
        <v>496370</v>
      </c>
      <c r="E794" s="48" t="str">
        <f>+VLOOKUP(A794,cennik!A:G,2,FALSE)</f>
        <v>SEVROLL 05799 GM 18 maskownica dolna 2,35 m, 18mm srebrna</v>
      </c>
      <c r="F794" s="48" t="str">
        <f>+VLOOKUP(A794,cennik!A:B,2,FALSE)</f>
        <v>SEVROLL 05799 GM 18 maskownica dolna 2,35 m, 18mm srebrna</v>
      </c>
      <c r="H794" s="1">
        <v>2350</v>
      </c>
      <c r="I794" s="1" t="str">
        <f>CONCATENATE(H794,"-",J4)</f>
        <v>2350-srebrny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1700-j.brąz</v>
      </c>
      <c r="D795" s="49">
        <v>496946</v>
      </c>
      <c r="E795" s="48" t="str">
        <f>+VLOOKUP(A795,cennik!A:G,2,FALSE)</f>
        <v>SEVROLL 05801 GM 18 listwa pozioma dolna 1,7m 18mm srebrny</v>
      </c>
      <c r="F795" s="48" t="str">
        <f>+VLOOKUP(A795,cennik!A:B,2,FALSE)</f>
        <v>SEVROLL 05801 GM 18 listwa pozioma dolna 1,7m 18mm srebrny</v>
      </c>
      <c r="H795" s="1">
        <v>1700</v>
      </c>
      <c r="I795" s="1" t="str">
        <f>CONCATENATE(H795,"-",J6)</f>
        <v>1700-j.brąz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2350-j.brąz</v>
      </c>
      <c r="D796" s="49">
        <v>496947</v>
      </c>
      <c r="E796" s="48" t="str">
        <f>+VLOOKUP(A796,cennik!A:G,2,FALSE)</f>
        <v>SEVROLL 05913 GM 18 listwa pozioma dolna 2,35m, j.brąz</v>
      </c>
      <c r="F796" s="48" t="str">
        <f>+VLOOKUP(A796,cennik!A:B,2,FALSE)</f>
        <v>SEVROLL 05913 GM 18 listwa pozioma dolna 2,35m, j.brąz</v>
      </c>
      <c r="H796" s="1">
        <v>2350</v>
      </c>
      <c r="I796" s="1" t="str">
        <f>CONCATENATE(H796,"-",J6)</f>
        <v>2350-j.brąz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3000-j.brąz</v>
      </c>
      <c r="D797" s="49">
        <v>496951</v>
      </c>
      <c r="E797" s="48" t="str">
        <f>+VLOOKUP(A797,cennik!A:G,2,FALSE)</f>
        <v>SEVROLL 05803 GM 18 listwa pozioma dolna 3m 18mm, jasny brąz</v>
      </c>
      <c r="F797" s="48" t="str">
        <f>+VLOOKUP(A797,cennik!A:B,2,FALSE)</f>
        <v>SEVROLL 05803 GM 18 listwa pozioma dolna 3m 18mm, jasny brąz</v>
      </c>
      <c r="H797" s="1">
        <v>3000</v>
      </c>
      <c r="I797" s="1" t="str">
        <f>CONCATENATE(H797,"-",J6)</f>
        <v>3000-j.brąz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 czarny mat</v>
      </c>
      <c r="D798" s="49">
        <v>496952</v>
      </c>
      <c r="E798" s="48" t="str">
        <f>+VLOOKUP(A798,cennik!A:G,2,FALSE)</f>
        <v>SEVROLL 05912 GM 18 listwa pozioma dolna 1,7m 18mm czarny mat</v>
      </c>
      <c r="F798" s="48" t="str">
        <f>+VLOOKUP(A798,cennik!A:B,2,FALSE)</f>
        <v>SEVROLL 05912 GM 18 listwa pozioma dolna 1,7m 18mm czarny mat</v>
      </c>
      <c r="H798" s="1">
        <v>1700</v>
      </c>
      <c r="I798" s="1" t="str">
        <f>CONCATENATE(H798,"-",J17)</f>
        <v>1700- czarny mat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 czarny mat</v>
      </c>
      <c r="D799" s="49">
        <v>496955</v>
      </c>
      <c r="E799" s="48" t="str">
        <f>+VLOOKUP(A799,cennik!A:G,2,FALSE)</f>
        <v>SEVROLL 05913 GM 18 listwa pozioma dolna 2,35m, czarny mat</v>
      </c>
      <c r="F799" s="48" t="str">
        <f>+VLOOKUP(A799,cennik!A:B,2,FALSE)</f>
        <v>SEVROLL 05913 GM 18 listwa pozioma dolna 2,35m, czarny mat</v>
      </c>
      <c r="H799" s="1">
        <v>2350</v>
      </c>
      <c r="I799" s="1" t="str">
        <f>CONCATENATE(H799,"-",J17)</f>
        <v>2350- czarny mat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 czarny mat</v>
      </c>
      <c r="D800" s="49">
        <v>496957</v>
      </c>
      <c r="E800" s="48" t="str">
        <f>+VLOOKUP(A800,cennik!A:G,2,FALSE)</f>
        <v>SEVROLL 05803 GM 18 listwa pozioma dolna 3m 18mm, czarny mat</v>
      </c>
      <c r="F800" s="48" t="str">
        <f>+VLOOKUP(A800,cennik!A:B,2,FALSE)</f>
        <v>SEVROLL 05803 GM 18 listwa pozioma dolna 3m 18mm, czarny mat</v>
      </c>
      <c r="H800" s="1">
        <v>3000</v>
      </c>
      <c r="I800" s="1" t="str">
        <f>CONCATENATE(H800,"-",J17)</f>
        <v>3000- czarny mat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3000-srebrny</v>
      </c>
      <c r="D801" s="49">
        <v>496371</v>
      </c>
      <c r="E801" s="48" t="str">
        <f>+VLOOKUP(A801,cennik!A:G,2,FALSE)</f>
        <v>SEVROLL 05800 GM 18 maskownica dolna 3 m, 18mm  srebrna</v>
      </c>
      <c r="F801" s="48" t="str">
        <f>+VLOOKUP(A801,cennik!A:B,2,FALSE)</f>
        <v>SEVROLL 05800 GM 18 maskownica dolna 3 m, 18mm  srebrna</v>
      </c>
      <c r="H801" s="1">
        <v>3000</v>
      </c>
      <c r="I801" s="1" t="str">
        <f>CONCATENATE(H801,"-",J4)</f>
        <v>3000-srebrny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4300-srebrny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4300-srebrny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6000-srebrny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6000-srebrny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05689 GM 18 wózek górny 18mm - 2 szt.</v>
      </c>
      <c r="F804" s="48" t="str">
        <f>+VLOOKUP(A804,cennik!A:B,2,FALSE)</f>
        <v>SEVROLL 05689 GM 18 wózek górny 18mm - 2 szt.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srebrny</v>
      </c>
      <c r="D805" s="49">
        <v>489292</v>
      </c>
      <c r="E805" s="48" t="str">
        <f>+VLOOKUP(A805,cennik!A:G,2,FALSE)</f>
        <v>SEVROLL 05788 Arte GM 18 rączka 2,7m srebrny</v>
      </c>
      <c r="F805" s="48" t="str">
        <f>+VLOOKUP(A805,cennik!A:B,2,FALSE)</f>
        <v>SEVROLL 05788 Arte GM 18 rączka 2,7m srebrny</v>
      </c>
      <c r="H805" s="165"/>
      <c r="I805" s="1" t="str">
        <f>J4</f>
        <v>srebrny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srebrny</v>
      </c>
      <c r="D806" s="49">
        <v>143983</v>
      </c>
      <c r="E806" s="48" t="str">
        <f>+VLOOKUP(A806,cennik!A:G,2,FALSE)</f>
        <v>SEVROLL 02777 Ergo rączka 2,7m srebrna</v>
      </c>
      <c r="F806" s="48" t="str">
        <f>+VLOOKUP(A806,cennik!A:B,2,FALSE)</f>
        <v>SEVROLL 02777 Ergo rączka 2,7m srebrna</v>
      </c>
      <c r="I806" s="1" t="str">
        <f>J4</f>
        <v>srebrny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j.brąz</v>
      </c>
      <c r="D807" s="49">
        <v>143984</v>
      </c>
      <c r="E807" s="48" t="str">
        <f>+VLOOKUP(A807,cennik!A:G,2,FALSE)</f>
        <v>SEVROLL 02776 Ergo rączka 2,7m jasny brąz</v>
      </c>
      <c r="F807" s="48" t="str">
        <f>+VLOOKUP(A807,cennik!A:B,2,FALSE)</f>
        <v>SEVROLL 02776 Ergo rączka 2,7m jasny brąz</v>
      </c>
      <c r="I807" s="1" t="str">
        <f>J6</f>
        <v>j.brąz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srebrny</v>
      </c>
      <c r="D808" s="49">
        <v>179196</v>
      </c>
      <c r="E808" s="48" t="str">
        <f>+VLOOKUP(A808,cennik!A:G,2,FALSE)</f>
        <v>SEVROLL Faworyt II rączka 2,7m srebrny</v>
      </c>
      <c r="F808" s="48" t="str">
        <f>+VLOOKUP(A808,cennik!A:B,2,FALSE)</f>
        <v>SEVROLL Faworyt II rączka 2,7m srebrny</v>
      </c>
      <c r="I808" s="1" t="str">
        <f>J4</f>
        <v>srebrny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 czarny mat</v>
      </c>
      <c r="D809" s="1">
        <v>452601</v>
      </c>
      <c r="E809" s="48" t="str">
        <f>+VLOOKUP(A809,cennik!A:G,2,FALSE)</f>
        <v>SEVROLL 05306 Faworyt II rączka 2,7 m, czarna matowa</v>
      </c>
      <c r="F809" s="48" t="str">
        <f>+VLOOKUP(A809,cennik!A:B,2,FALSE)</f>
        <v>SEVROLL 05306 Faworyt II rączka 2,7 m, czarna matowa</v>
      </c>
      <c r="I809" s="1" t="str">
        <f>J17</f>
        <v> czarny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36">
        <v>276742</v>
      </c>
      <c r="B810" s="437"/>
      <c r="C810" s="1" t="str">
        <f>J18</f>
        <v>biały mat</v>
      </c>
      <c r="D810" s="436">
        <v>276742</v>
      </c>
      <c r="E810" s="48" t="str">
        <f>+VLOOKUP(A810,cennik!A:G,2,FALSE)</f>
        <v>SEVROLL Faworyt II rączka 2,7 m, biała matowa</v>
      </c>
      <c r="F810" s="48" t="str">
        <f>+VLOOKUP(A810,cennik!A:B,2,FALSE)</f>
        <v>SEVROLL Faworyt II rączka 2,7 m, biała matowa</v>
      </c>
      <c r="G810" s="437"/>
      <c r="H810" s="437"/>
      <c r="I810" s="1" t="str">
        <f>J18</f>
        <v>biały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j.brąz</v>
      </c>
      <c r="D811" s="49">
        <v>135706</v>
      </c>
      <c r="E811" s="48" t="str">
        <f>+VLOOKUP(A811,cennik!A:G,2,FALSE)</f>
        <v>SEVROLL Faworyt II rączka 2,7m jasny brąz</v>
      </c>
      <c r="F811" s="48" t="str">
        <f>+VLOOKUP(A811,cennik!A:B,2,FALSE)</f>
        <v>SEVROLL Faworyt II rączka 2,7m jasny brąz</v>
      </c>
      <c r="I811" s="1" t="str">
        <f>J6</f>
        <v>j.brąz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 biały połysk</v>
      </c>
      <c r="D812" s="49">
        <v>252569</v>
      </c>
      <c r="E812" s="48" t="str">
        <f>+VLOOKUP(A812,cennik!A:G,2,FALSE)</f>
        <v>SEVROLL Faworyt II rączka 2,7m biały połysk</v>
      </c>
      <c r="F812" s="48" t="str">
        <f>+VLOOKUP(A812,cennik!A:B,2,FALSE)</f>
        <v>SEVROLL Faworyt II rączka 2,7m biały połysk</v>
      </c>
      <c r="I812" s="1" t="str">
        <f>J15</f>
        <v> biały połysk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srebrny</v>
      </c>
      <c r="D813" s="49">
        <v>135552</v>
      </c>
      <c r="E813" s="48" t="str">
        <f>+VLOOKUP(A813,cennik!A:G,2,FALSE)</f>
        <v>Sevroll 02742 Minicomfort II rączka 2,7m srebrna</v>
      </c>
      <c r="F813" s="48" t="str">
        <f>+VLOOKUP(A813,cennik!A:B,2,FALSE)</f>
        <v>Sevroll 02742 Minicomfort II rączka 2,7m srebrna</v>
      </c>
      <c r="I813" s="1" t="str">
        <f>J4</f>
        <v>srebrny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j.brąz</v>
      </c>
      <c r="D814" s="49">
        <v>135553</v>
      </c>
      <c r="E814" s="48" t="str">
        <f>+VLOOKUP(A814,cennik!A:G,2,FALSE)</f>
        <v>SEVROLL Minicomfort II rączka 2,7m jasny brąz</v>
      </c>
      <c r="F814" s="48" t="str">
        <f>+VLOOKUP(A814,cennik!A:B,2,FALSE)</f>
        <v>SEVROLL Minicomfort II rączka 2,7m jasny brąz</v>
      </c>
      <c r="I814" s="1" t="str">
        <f>J6</f>
        <v>j.brąz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srebrny</v>
      </c>
      <c r="D815" s="49">
        <v>135555</v>
      </c>
      <c r="E815" s="48" t="str">
        <f>+VLOOKUP(A815,cennik!A:G,2,FALSE)</f>
        <v>Sevroll 02723 Comfort 18 II rączka 2,7m srebrna</v>
      </c>
      <c r="F815" s="48" t="str">
        <f>+VLOOKUP(A815,cennik!A:B,2,FALSE)</f>
        <v>Sevroll 02723 Comfort 18 II rączka 2,7m srebrna</v>
      </c>
      <c r="I815" s="1" t="str">
        <f>J4</f>
        <v>srebrny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j.brąz</v>
      </c>
      <c r="D816" s="49">
        <v>135556</v>
      </c>
      <c r="E816" s="48" t="str">
        <f>+VLOOKUP(A816,cennik!A:G,2,FALSE)</f>
        <v>SEVROLL Comfort 18 II rączka 2,7m jasny brąz</v>
      </c>
      <c r="F816" s="48" t="str">
        <f>+VLOOKUP(A816,cennik!A:B,2,FALSE)</f>
        <v>SEVROLL Comfort 18 II rączka 2,7m jasny brąz</v>
      </c>
      <c r="I816" s="1" t="str">
        <f>J6</f>
        <v>j.brąz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srebrny</v>
      </c>
      <c r="D817" s="49">
        <v>135684</v>
      </c>
      <c r="E817" s="48" t="str">
        <f>+VLOOKUP(A817,cennik!A:G,2,FALSE)</f>
        <v>SEVROLL Unicomfort II rączka 2,7m srebrna</v>
      </c>
      <c r="F817" s="48" t="str">
        <f>+VLOOKUP(A817,cennik!A:B,2,FALSE)</f>
        <v>SEVROLL Unicomfort II rączka 2,7m srebrna</v>
      </c>
      <c r="I817" s="1" t="str">
        <f>J4</f>
        <v>srebrny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j.brąz</v>
      </c>
      <c r="D818" s="49">
        <v>135685</v>
      </c>
      <c r="E818" s="48" t="str">
        <f>+VLOOKUP(A818,cennik!A:G,2,FALSE)</f>
        <v>SEVROLL Unicomfort II rączka 2,7m jasny brąz</v>
      </c>
      <c r="F818" s="48" t="str">
        <f>+VLOOKUP(A818,cennik!A:B,2,FALSE)</f>
        <v>SEVROLL Unicomfort II rączka 2,7m jasny brąz</v>
      </c>
      <c r="I818" s="1" t="str">
        <f>J6</f>
        <v>j.brąz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srebrny</v>
      </c>
      <c r="D819" s="14">
        <v>233428</v>
      </c>
      <c r="E819" s="48" t="str">
        <f>+VLOOKUP(A819,cennik!A:G,2,FALSE)</f>
        <v>Sevroll Fiona II rączka 2,7m srebrna</v>
      </c>
      <c r="F819" s="48" t="str">
        <f>+VLOOKUP(A819,cennik!A:B,2,FALSE)</f>
        <v>Sevroll Fiona II rączka 2,7m srebrna</v>
      </c>
      <c r="G819" s="152"/>
      <c r="H819" s="152"/>
      <c r="I819" s="152" t="str">
        <f>J4</f>
        <v>srebrny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srebrny</v>
      </c>
      <c r="D820" s="49">
        <v>98002</v>
      </c>
      <c r="E820" s="48" t="str">
        <f>+VLOOKUP(A820,cennik!A:G,2,FALSE)</f>
        <v>Sevroll (Astin) Orient rączka 2,7m srebrna (32/1)</v>
      </c>
      <c r="F820" s="48" t="str">
        <f>+VLOOKUP(A820,cennik!A:B,2,FALSE)</f>
        <v>Sevroll (Astin) Orient rączka 2,7m srebrna (32/1)</v>
      </c>
      <c r="G820" s="152"/>
      <c r="H820" s="152"/>
      <c r="I820" s="152" t="str">
        <f>J4</f>
        <v>srebrny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srebrny</v>
      </c>
      <c r="D821" s="49">
        <v>98001</v>
      </c>
      <c r="E821" s="48" t="str">
        <f>+VLOOKUP(A821,cennik!A:G,2,FALSE)</f>
        <v>Sevroll (Astin) Elegant rączka 2,7m srebrna (22/1)</v>
      </c>
      <c r="F821" s="48" t="str">
        <f>+VLOOKUP(A821,cennik!A:B,2,FALSE)</f>
        <v>Sevroll (Astin) Elegant rączka 2,7m srebrna (22/1)</v>
      </c>
      <c r="G821" s="152"/>
      <c r="H821" s="152"/>
      <c r="I821" s="152" t="str">
        <f>J4</f>
        <v>srebrny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1800-srebrny</v>
      </c>
      <c r="D822" s="49">
        <v>98003</v>
      </c>
      <c r="E822" s="48" t="str">
        <f>+VLOOKUP(A822,cennik!A:G,2,FALSE)</f>
        <v>Sevroll (Astin) tor górny 1,8m srebrny (32/1)</v>
      </c>
      <c r="F822" s="48" t="str">
        <f>+VLOOKUP(A822,cennik!A:B,2,FALSE)</f>
        <v>Sevroll (Astin) tor górny 1,8m srebrny (32/1)</v>
      </c>
      <c r="G822" s="152"/>
      <c r="H822" s="152">
        <v>1800</v>
      </c>
      <c r="I822" s="152" t="str">
        <f>CONCATENATE(H822,"-",J4)</f>
        <v>1800-srebrny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2700-srebrny</v>
      </c>
      <c r="D823" s="49">
        <v>98004</v>
      </c>
      <c r="E823" s="48" t="str">
        <f>+VLOOKUP(A823,cennik!A:G,2,FALSE)</f>
        <v>Sevroll (Astin)tor górny 2,7m srebrny (32/1)</v>
      </c>
      <c r="F823" s="48" t="str">
        <f>+VLOOKUP(A823,cennik!A:B,2,FALSE)</f>
        <v>Sevroll (Astin)tor górny 2,7m srebrny (32/1)</v>
      </c>
      <c r="G823" s="152"/>
      <c r="H823" s="152">
        <v>2700</v>
      </c>
      <c r="I823" s="152" t="str">
        <f>CONCATENATE(H823,"-",J4)</f>
        <v>2700-srebrny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3600-srebrny</v>
      </c>
      <c r="D824" s="49">
        <v>98005</v>
      </c>
      <c r="E824" s="48" t="str">
        <f>+VLOOKUP(A824,cennik!A:G,2,FALSE)</f>
        <v>Sevroll (Astin) tor górny 3,6m srebrny (32/1)</v>
      </c>
      <c r="F824" s="48" t="str">
        <f>+VLOOKUP(A824,cennik!A:B,2,FALSE)</f>
        <v>Sevroll (Astin) tor górny 3,6m srebrny (32/1)</v>
      </c>
      <c r="G824" s="152"/>
      <c r="H824" s="152">
        <v>3600</v>
      </c>
      <c r="I824" s="152" t="str">
        <f>CONCATENATE(H824,"-",J4)</f>
        <v>3600-srebrny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1800-srebrny</v>
      </c>
      <c r="D825" s="49">
        <v>98007</v>
      </c>
      <c r="E825" s="48" t="str">
        <f>+VLOOKUP(A825,cennik!A:G,2,FALSE)</f>
        <v>Sevroll (Astin) tor dolny 1,8m srebrny (22/1)</v>
      </c>
      <c r="F825" s="48" t="str">
        <f>+VLOOKUP(A825,cennik!A:B,2,FALSE)</f>
        <v>Sevroll (Astin) tor dolny 1,8m srebrny (22/1)</v>
      </c>
      <c r="G825" s="152"/>
      <c r="H825" s="152">
        <v>1800</v>
      </c>
      <c r="I825" s="152" t="str">
        <f>CONCATENATE(H825,"-",J4)</f>
        <v>1800-srebrny</v>
      </c>
      <c r="Z825" s="1" t="b">
        <f t="shared" si="18"/>
        <v>1</v>
      </c>
    </row>
    <row r="826" spans="1:26" s="417" customFormat="1" ht="15" customHeight="1" x14ac:dyDescent="0.3">
      <c r="A826" s="49">
        <v>98008</v>
      </c>
      <c r="B826" s="48"/>
      <c r="C826" s="152" t="str">
        <f>CONCATENATE(H826,"-",J4)</f>
        <v>2700-srebrny</v>
      </c>
      <c r="D826" s="49">
        <v>98008</v>
      </c>
      <c r="E826" s="48" t="str">
        <f>+VLOOKUP(A826,cennik!A:G,2,FALSE)</f>
        <v>Sevroll (Astin) tor dolny 2,7m srebrny (22/1)</v>
      </c>
      <c r="F826" s="48" t="str">
        <f>+VLOOKUP(A826,cennik!A:B,2,FALSE)</f>
        <v>Sevroll (Astin) tor dolny 2,7m srebrny (22/1)</v>
      </c>
      <c r="G826" s="152"/>
      <c r="H826" s="152">
        <v>2700</v>
      </c>
      <c r="I826" s="152" t="str">
        <f>CONCATENATE(H826,"-",J4)</f>
        <v>2700-srebrny</v>
      </c>
      <c r="Z826" s="1" t="b">
        <f t="shared" si="18"/>
        <v>1</v>
      </c>
    </row>
    <row r="827" spans="1:26" s="417" customFormat="1" ht="15" customHeight="1" x14ac:dyDescent="0.3">
      <c r="A827" s="49">
        <v>98009</v>
      </c>
      <c r="B827" s="48"/>
      <c r="C827" s="152" t="str">
        <f>CONCATENATE(H827,"-",J4)</f>
        <v>3600-srebrny</v>
      </c>
      <c r="D827" s="49">
        <v>98009</v>
      </c>
      <c r="E827" s="48" t="str">
        <f>+VLOOKUP(A827,cennik!A:G,2,FALSE)</f>
        <v>Sevroll (Astin) tor dolny 3,6m srebrny (22/1)</v>
      </c>
      <c r="F827" s="48" t="str">
        <f>+VLOOKUP(A827,cennik!A:B,2,FALSE)</f>
        <v>Sevroll (Astin) tor dolny 3,6m srebrny (22/1)</v>
      </c>
      <c r="G827" s="152"/>
      <c r="H827" s="152">
        <v>3600</v>
      </c>
      <c r="I827" s="152" t="str">
        <f>CONCATENATE(H827,"-",J4)</f>
        <v>3600-srebrny</v>
      </c>
      <c r="Z827" s="1" t="b">
        <f t="shared" si="18"/>
        <v>1</v>
      </c>
    </row>
    <row r="828" spans="1:26" s="417" customFormat="1" ht="15" customHeight="1" x14ac:dyDescent="0.3">
      <c r="A828" s="49">
        <v>98011</v>
      </c>
      <c r="B828" s="48" t="s">
        <v>593</v>
      </c>
      <c r="C828" s="152" t="str">
        <f>CONCATENATE(H828,"-",J4)</f>
        <v>1800-srebrny</v>
      </c>
      <c r="D828" s="49">
        <v>98011</v>
      </c>
      <c r="E828" s="48" t="str">
        <f>+VLOOKUP(A828,cennik!A:G,2,FALSE)</f>
        <v>Sevroll (Astin) kątownik 1,8m srebrny (22/1)</v>
      </c>
      <c r="F828" s="48" t="str">
        <f>+VLOOKUP(A828,cennik!A:B,2,FALSE)</f>
        <v>Sevroll (Astin) kątownik 1,8m srebrny (22/1)</v>
      </c>
      <c r="G828" s="152"/>
      <c r="H828" s="152">
        <v>1800</v>
      </c>
      <c r="I828" s="152" t="str">
        <f>CONCATENATE(H828,"-",J4)</f>
        <v>1800-srebrny</v>
      </c>
      <c r="Z828" s="1" t="b">
        <f t="shared" si="18"/>
        <v>1</v>
      </c>
    </row>
    <row r="829" spans="1:26" s="417" customFormat="1" ht="15" customHeight="1" x14ac:dyDescent="0.3">
      <c r="A829" s="49">
        <v>98012</v>
      </c>
      <c r="B829" s="48"/>
      <c r="C829" s="152" t="str">
        <f>CONCATENATE(H829,"-",J4)</f>
        <v>2700-srebrny</v>
      </c>
      <c r="D829" s="49">
        <v>98012</v>
      </c>
      <c r="E829" s="48" t="str">
        <f>+VLOOKUP(A829,cennik!A:G,2,FALSE)</f>
        <v>Sevroll (Astin) kątownik  2,7m srebrny (22/1)</v>
      </c>
      <c r="F829" s="48" t="str">
        <f>+VLOOKUP(A829,cennik!A:B,2,FALSE)</f>
        <v>Sevroll (Astin) kątownik  2,7m srebrny (22/1)</v>
      </c>
      <c r="G829" s="152"/>
      <c r="H829" s="152">
        <v>2700</v>
      </c>
      <c r="I829" s="152" t="str">
        <f>CONCATENATE(H829,"-",J4)</f>
        <v>2700-srebrny</v>
      </c>
      <c r="Z829" s="1" t="b">
        <f t="shared" si="18"/>
        <v>1</v>
      </c>
    </row>
    <row r="830" spans="1:26" s="417" customFormat="1" ht="15" customHeight="1" x14ac:dyDescent="0.3">
      <c r="A830" s="49">
        <v>98013</v>
      </c>
      <c r="B830" s="48"/>
      <c r="C830" s="152" t="str">
        <f>CONCATENATE(H830,"-",J4)</f>
        <v>3600-srebrny</v>
      </c>
      <c r="D830" s="49">
        <v>98013</v>
      </c>
      <c r="E830" s="48" t="str">
        <f>+VLOOKUP(A830,cennik!A:G,2,FALSE)</f>
        <v>Sevroll (Astin) kątownik  3,6m srebrny (22/1)</v>
      </c>
      <c r="F830" s="48" t="str">
        <f>+VLOOKUP(A830,cennik!A:B,2,FALSE)</f>
        <v>Sevroll (Astin) kątownik  3,6m srebrny (22/1)</v>
      </c>
      <c r="G830" s="152"/>
      <c r="H830" s="152">
        <v>3600</v>
      </c>
      <c r="I830" s="152" t="str">
        <f>CONCATENATE(H830,"-",J4)</f>
        <v>3600-srebrny</v>
      </c>
      <c r="Z830" s="1" t="b">
        <f t="shared" si="18"/>
        <v>1</v>
      </c>
    </row>
    <row r="831" spans="1:26" s="417" customFormat="1" ht="15" customHeight="1" x14ac:dyDescent="0.3">
      <c r="A831" s="49">
        <v>98015</v>
      </c>
      <c r="B831" s="48" t="s">
        <v>594</v>
      </c>
      <c r="C831" s="152" t="str">
        <f>J4</f>
        <v>srebrny</v>
      </c>
      <c r="D831" s="49">
        <v>98015</v>
      </c>
      <c r="E831" s="48" t="str">
        <f>+VLOOKUP(A831,cennik!A:G,2,FALSE)</f>
        <v>Sevroll (Astin) łacznik H08 profil 3m srebrny</v>
      </c>
      <c r="F831" s="48" t="str">
        <f>+VLOOKUP(A831,cennik!A:B,2,FALSE)</f>
        <v>Sevroll (Astin) łacznik H08 profil 3m srebrny</v>
      </c>
      <c r="G831" s="152"/>
      <c r="H831" s="152"/>
      <c r="I831" s="152" t="str">
        <f>J4</f>
        <v>srebrny</v>
      </c>
      <c r="Z831" s="1" t="b">
        <f t="shared" si="18"/>
        <v>1</v>
      </c>
    </row>
    <row r="832" spans="1:26" s="417" customFormat="1" ht="15" customHeight="1" x14ac:dyDescent="0.3">
      <c r="A832" s="49">
        <v>213609</v>
      </c>
      <c r="B832" s="48"/>
      <c r="C832" s="152" t="str">
        <f>J4</f>
        <v>srebrny</v>
      </c>
      <c r="D832" s="49">
        <v>213609</v>
      </c>
      <c r="E832" s="48" t="str">
        <f>+VLOOKUP(A832,cennik!A:G,2,FALSE)</f>
        <v>SEVROLL Hide M tor dolny 3m srebrny</v>
      </c>
      <c r="F832" s="48" t="str">
        <f>+VLOOKUP(A832,cennik!A:B,2,FALSE)</f>
        <v>SEVROLL Hide M tor dolny 3m srebrny</v>
      </c>
      <c r="G832" s="1"/>
      <c r="H832" s="1">
        <v>3000</v>
      </c>
      <c r="I832" s="152" t="str">
        <f>CONCATENATE(H832,"-",J4)</f>
        <v>3000-srebrny</v>
      </c>
      <c r="Z832" s="1" t="b">
        <f t="shared" si="18"/>
        <v>1</v>
      </c>
    </row>
    <row r="833" spans="1:26" s="417" customFormat="1" ht="15" customHeight="1" x14ac:dyDescent="0.3">
      <c r="A833" s="49">
        <v>197753</v>
      </c>
      <c r="B833" s="48"/>
      <c r="C833" s="152" t="str">
        <f>J4</f>
        <v>srebrny</v>
      </c>
      <c r="D833" s="49">
        <v>197753</v>
      </c>
      <c r="E833" s="48" t="str">
        <f>+VLOOKUP(A833,cennik!A:G,2,FALSE)</f>
        <v>SEVROLL Hide N tor dolny 3m srebrny</v>
      </c>
      <c r="F833" s="48" t="str">
        <f>+VLOOKUP(A833,cennik!A:B,2,FALSE)</f>
        <v>SEVROLL Hide N tor dolny 3m srebrny</v>
      </c>
      <c r="G833" s="1"/>
      <c r="H833" s="1">
        <v>3000</v>
      </c>
      <c r="I833" s="152" t="str">
        <f>CONCATENATE(H833,"-",J4)</f>
        <v>3000-srebrny</v>
      </c>
      <c r="Z833" s="1" t="b">
        <f t="shared" si="18"/>
        <v>1</v>
      </c>
    </row>
    <row r="834" spans="1:26" s="417" customFormat="1" ht="15" customHeight="1" x14ac:dyDescent="0.3">
      <c r="A834" s="49">
        <v>223405</v>
      </c>
      <c r="B834" s="48"/>
      <c r="C834" s="152" t="str">
        <f>J6</f>
        <v>j.brąz</v>
      </c>
      <c r="D834" s="49">
        <v>223405</v>
      </c>
      <c r="E834" s="48" t="str">
        <f>+VLOOKUP(A834,cennik!A:G,2,FALSE)</f>
        <v>SEVROLL Hide M tor dolny 3 m oliwka</v>
      </c>
      <c r="F834" s="48" t="str">
        <f>+VLOOKUP(A834,cennik!A:B,2,FALSE)</f>
        <v>SEVROLL Hide M tor dolny 3 m oliwka</v>
      </c>
      <c r="G834" s="1"/>
      <c r="H834" s="1">
        <v>3000</v>
      </c>
      <c r="I834" s="152" t="str">
        <f>CONCATENATE(H834,"-",J4)</f>
        <v>3000-srebrny</v>
      </c>
      <c r="Z834" s="1" t="b">
        <f t="shared" si="18"/>
        <v>1</v>
      </c>
    </row>
    <row r="835" spans="1:26" s="417" customFormat="1" ht="15" customHeight="1" x14ac:dyDescent="0.3">
      <c r="A835" s="49">
        <v>197755</v>
      </c>
      <c r="B835" s="48"/>
      <c r="C835" s="152" t="str">
        <f>J6</f>
        <v>j.brąz</v>
      </c>
      <c r="D835" s="49">
        <v>197755</v>
      </c>
      <c r="E835" s="48" t="str">
        <f>+VLOOKUP(A835,cennik!A:G,2,FALSE)</f>
        <v>SEVROLL Hide N tor dolny 3 m oliwka</v>
      </c>
      <c r="F835" s="48" t="str">
        <f>+VLOOKUP(A835,cennik!A:B,2,FALSE)</f>
        <v>SEVROLL Hide N tor dolny 3 m oliwka</v>
      </c>
      <c r="G835" s="1"/>
      <c r="H835" s="1">
        <v>3000</v>
      </c>
      <c r="I835" s="152" t="str">
        <f>CONCATENATE(H835,"-",J4)</f>
        <v>3000-srebrny</v>
      </c>
      <c r="Z835" s="1" t="b">
        <f t="shared" si="18"/>
        <v>1</v>
      </c>
    </row>
    <row r="836" spans="1:26" s="417" customFormat="1" ht="15" customHeight="1" x14ac:dyDescent="0.3">
      <c r="A836" s="49">
        <v>279078</v>
      </c>
      <c r="B836" s="48"/>
      <c r="C836" s="152" t="str">
        <f>J6</f>
        <v>j.brąz</v>
      </c>
      <c r="D836" s="49">
        <v>279078</v>
      </c>
      <c r="E836" s="48" t="str">
        <f>+VLOOKUP(A836,cennik!A:G,2,FALSE)</f>
        <v>SEVROLL Hide N tor dolny 6 m, jasny brąz</v>
      </c>
      <c r="F836" s="48" t="str">
        <f>+VLOOKUP(A836,cennik!A:B,2,FALSE)</f>
        <v>SEVROLL Hide N tor dolny 6 m, jasny brąz</v>
      </c>
      <c r="G836" s="1"/>
      <c r="H836" s="1">
        <v>6000</v>
      </c>
      <c r="I836" s="152" t="str">
        <f>CONCATENATE(H836,"-",J4)</f>
        <v>6000-srebrny</v>
      </c>
      <c r="Z836" s="1" t="b">
        <f t="shared" si="18"/>
        <v>1</v>
      </c>
    </row>
    <row r="837" spans="1:26" s="417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zaślepka do toru Hide N srebrna</v>
      </c>
      <c r="F837" s="48" t="str">
        <f>+VLOOKUP(A837,cennik!A:B,2,FALSE)</f>
        <v>SEVROLL zaślepka do toru Hide N srebrna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stoper do torów Hide N i M</v>
      </c>
      <c r="F838" s="48" t="str">
        <f>+VLOOKUP(A838,cennik!A:B,2,FALSE)</f>
        <v>SEVROLL stoper do torów Hide N i M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3">
      <c r="A839" s="421">
        <v>98067</v>
      </c>
      <c r="B839" s="422" t="s">
        <v>1715</v>
      </c>
      <c r="C839" s="420" t="str">
        <f>CONCATENATE(H839,"-",J4)</f>
        <v>14,5-srebrny</v>
      </c>
      <c r="D839" s="421">
        <v>98067</v>
      </c>
      <c r="E839" s="419" t="str">
        <f>+VLOOKUP(A839,cennik!A:G,2,FALSE)</f>
        <v>SEVROLL szczotka odbojowa zasuwana 14,5x4 mm</v>
      </c>
      <c r="F839" s="419" t="str">
        <f>+VLOOKUP(A839,cennik!A:B,2,FALSE)</f>
        <v>SEVROLL szczotka odbojowa zasuwana 14,5x4 mm</v>
      </c>
      <c r="H839" s="417">
        <v>14.5</v>
      </c>
      <c r="I839" s="420" t="str">
        <f>CONCATENATE(N826,"-",J4)</f>
        <v>-srebrny</v>
      </c>
      <c r="Z839" s="1" t="b">
        <f t="shared" si="18"/>
        <v>1</v>
      </c>
    </row>
    <row r="840" spans="1:26" s="417" customFormat="1" ht="15" customHeight="1" x14ac:dyDescent="0.3">
      <c r="A840" s="421">
        <v>306523</v>
      </c>
      <c r="B840" s="422" t="s">
        <v>1715</v>
      </c>
      <c r="C840" s="420" t="str">
        <f>CONCATENATE(H840,"-",J18)</f>
        <v>14,5-biały mat</v>
      </c>
      <c r="D840" s="421">
        <v>306523</v>
      </c>
      <c r="E840" s="419" t="str">
        <f>+VLOOKUP(A840,cennik!A:G,2,FALSE)</f>
        <v>SEVROLL szczotka odbojowa bez kleju 14x4mm biała</v>
      </c>
      <c r="F840" s="419" t="str">
        <f>+VLOOKUP(A840,cennik!A:B,2,FALSE)</f>
        <v>SEVROLL szczotka odbojowa bez kleju 14x4mm biała</v>
      </c>
      <c r="H840" s="417">
        <v>14.5</v>
      </c>
      <c r="I840" s="417" t="str">
        <f>J18</f>
        <v>biały mat</v>
      </c>
      <c r="Z840" s="1"/>
    </row>
    <row r="841" spans="1:26" s="417" customFormat="1" ht="15" customHeight="1" x14ac:dyDescent="0.3">
      <c r="A841" s="421">
        <v>306523</v>
      </c>
      <c r="B841" s="422" t="s">
        <v>1715</v>
      </c>
      <c r="C841" s="420" t="str">
        <f>CONCATENATE(H841,"-",J15)</f>
        <v>14,5- biały połysk</v>
      </c>
      <c r="D841" s="421">
        <v>306523</v>
      </c>
      <c r="E841" s="419" t="str">
        <f>+VLOOKUP(A841,cennik!A:G,2,FALSE)</f>
        <v>SEVROLL szczotka odbojowa bez kleju 14x4mm biała</v>
      </c>
      <c r="F841" s="419" t="str">
        <f>+VLOOKUP(A841,cennik!A:B,2,FALSE)</f>
        <v>SEVROLL szczotka odbojowa bez kleju 14x4mm biała</v>
      </c>
      <c r="H841" s="417">
        <v>14.5</v>
      </c>
      <c r="I841" s="417" t="str">
        <f>J15</f>
        <v> biały połysk</v>
      </c>
      <c r="Z841" s="1" t="b">
        <f t="shared" si="18"/>
        <v>1</v>
      </c>
    </row>
    <row r="842" spans="1:26" s="417" customFormat="1" ht="15" customHeight="1" x14ac:dyDescent="0.3">
      <c r="A842" s="421">
        <v>98067</v>
      </c>
      <c r="B842" s="422" t="s">
        <v>1715</v>
      </c>
      <c r="C842" s="420" t="str">
        <f>CONCATENATE(H842,"-",J5)</f>
        <v>14,5-złoty/mosiądz</v>
      </c>
      <c r="D842" s="421">
        <v>98067</v>
      </c>
      <c r="E842" s="419" t="str">
        <f>+VLOOKUP(A842,cennik!A:G,2,FALSE)</f>
        <v>SEVROLL szczotka odbojowa zasuwana 14,5x4 mm</v>
      </c>
      <c r="F842" s="419" t="str">
        <f>+VLOOKUP(A842,cennik!A:B,2,FALSE)</f>
        <v>SEVROLL szczotka odbojowa zasuwana 14,5x4 mm</v>
      </c>
      <c r="H842" s="417">
        <v>14.5</v>
      </c>
      <c r="I842" s="420" t="str">
        <f>CONCATENATE(N828,"-",J5)</f>
        <v>-złoty/mosiądz</v>
      </c>
      <c r="Z842" s="1" t="b">
        <f t="shared" si="18"/>
        <v>1</v>
      </c>
    </row>
    <row r="843" spans="1:26" s="417" customFormat="1" ht="15" customHeight="1" x14ac:dyDescent="0.3">
      <c r="A843" s="421">
        <v>98067</v>
      </c>
      <c r="B843" s="422" t="s">
        <v>1715</v>
      </c>
      <c r="C843" s="420" t="str">
        <f>CONCATENATE(H843,"-",J6)</f>
        <v>14,5-j.brąz</v>
      </c>
      <c r="D843" s="421">
        <v>98067</v>
      </c>
      <c r="E843" s="419" t="str">
        <f>+VLOOKUP(A843,cennik!A:G,2,FALSE)</f>
        <v>SEVROLL szczotka odbojowa zasuwana 14,5x4 mm</v>
      </c>
      <c r="F843" s="419" t="str">
        <f>+VLOOKUP(A843,cennik!A:B,2,FALSE)</f>
        <v>SEVROLL szczotka odbojowa zasuwana 14,5x4 mm</v>
      </c>
      <c r="H843" s="417">
        <v>14.5</v>
      </c>
      <c r="I843" s="420" t="str">
        <f>CONCATENATE(N829,"-",J6)</f>
        <v>-j.brąz</v>
      </c>
      <c r="Z843" s="1" t="b">
        <f t="shared" si="18"/>
        <v>1</v>
      </c>
    </row>
    <row r="844" spans="1:26" s="417" customFormat="1" ht="15" customHeight="1" x14ac:dyDescent="0.3">
      <c r="A844" s="421">
        <v>98067</v>
      </c>
      <c r="B844" s="422" t="s">
        <v>1715</v>
      </c>
      <c r="C844" s="420" t="str">
        <f>CONCATENATE(H844,"-",J7)</f>
        <v>14,5-j.brąz szczotkowany</v>
      </c>
      <c r="D844" s="421">
        <v>98067</v>
      </c>
      <c r="E844" s="419" t="str">
        <f>+VLOOKUP(A844,cennik!A:G,2,FALSE)</f>
        <v>SEVROLL szczotka odbojowa zasuwana 14,5x4 mm</v>
      </c>
      <c r="F844" s="419" t="str">
        <f>+VLOOKUP(A844,cennik!A:B,2,FALSE)</f>
        <v>SEVROLL szczotka odbojowa zasuwana 14,5x4 mm</v>
      </c>
      <c r="H844" s="417">
        <v>14.5</v>
      </c>
      <c r="I844" s="420" t="str">
        <f>CONCATENATE(N830,"-",J7)</f>
        <v>-j.brąz szczotkowany</v>
      </c>
      <c r="Z844" s="1" t="b">
        <f t="shared" si="18"/>
        <v>1</v>
      </c>
    </row>
    <row r="845" spans="1:26" ht="15" customHeight="1" x14ac:dyDescent="0.3">
      <c r="A845" s="421">
        <v>98067</v>
      </c>
      <c r="B845" s="422" t="s">
        <v>1715</v>
      </c>
      <c r="C845" s="420" t="str">
        <f>CONCATENATE(H845,"-",J8)</f>
        <v>14,5-szczot.oliwa ciemna</v>
      </c>
      <c r="D845" s="421">
        <v>98067</v>
      </c>
      <c r="E845" s="419" t="str">
        <f>+VLOOKUP(A845,cennik!A:G,2,FALSE)</f>
        <v>SEVROLL szczotka odbojowa zasuwana 14,5x4 mm</v>
      </c>
      <c r="F845" s="419" t="str">
        <f>+VLOOKUP(A845,cennik!A:B,2,FALSE)</f>
        <v>SEVROLL szczotka odbojowa zasuwana 14,5x4 mm</v>
      </c>
      <c r="G845" s="417"/>
      <c r="H845" s="417">
        <v>14.5</v>
      </c>
      <c r="I845" s="420" t="str">
        <f>CONCATENATE(N831,"-",J8)</f>
        <v>-szczot.oliwa ciemna</v>
      </c>
      <c r="Z845" s="1" t="b">
        <f t="shared" si="18"/>
        <v>1</v>
      </c>
    </row>
    <row r="846" spans="1:26" s="425" customFormat="1" ht="15" customHeight="1" x14ac:dyDescent="0.3">
      <c r="A846" s="423">
        <v>409700</v>
      </c>
      <c r="B846" s="422" t="s">
        <v>1715</v>
      </c>
      <c r="C846" s="420" t="str">
        <f>CONCATENATE(H846,"-",J9)</f>
        <v>14,5-szczot.czarna</v>
      </c>
      <c r="D846" s="423">
        <v>409700</v>
      </c>
      <c r="E846" s="419" t="str">
        <f>+VLOOKUP(A846,cennik!A:G,2,FALSE)</f>
        <v>SEVROLL 
20334-SV szczotka odbojowa wsuwana 14x4mm czarna</v>
      </c>
      <c r="F846" s="419" t="str">
        <f>+VLOOKUP(A846,cennik!A:B,2,FALSE)</f>
        <v>SEVROLL 
20334-SV szczotka odbojowa wsuwana 14x4mm czarna</v>
      </c>
      <c r="G846" s="417"/>
      <c r="H846" s="417">
        <v>14.5</v>
      </c>
      <c r="I846" s="420" t="str">
        <f>CONCATENATE(N832,"-",J9)</f>
        <v>-szczot.czarna</v>
      </c>
      <c r="Z846" s="1" t="b">
        <f t="shared" si="18"/>
        <v>1</v>
      </c>
    </row>
    <row r="847" spans="1:26" s="425" customFormat="1" ht="15" customHeight="1" x14ac:dyDescent="0.3">
      <c r="A847" s="421">
        <v>229433</v>
      </c>
      <c r="B847" s="422" t="s">
        <v>1715</v>
      </c>
      <c r="C847" s="420" t="str">
        <f t="shared" ref="C847:C852" si="19">CONCATENATE(H847,"-",J4)</f>
        <v>4,8-srebrny</v>
      </c>
      <c r="D847" s="421">
        <v>229433</v>
      </c>
      <c r="E847" s="419" t="str">
        <f>+VLOOKUP(A847,cennik!A:G,2,FALSE)</f>
        <v>SEVROLL szczotka odbojowa bez kleju 4,8x4mm</v>
      </c>
      <c r="F847" s="419" t="str">
        <f>+VLOOKUP(A847,cennik!A:B,2,FALSE)</f>
        <v>SEVROLL szczotka odbojowa bez kleju 4,8x4mm</v>
      </c>
      <c r="G847" s="417"/>
      <c r="H847" s="417">
        <v>4.8</v>
      </c>
      <c r="I847" s="420" t="str">
        <f t="shared" ref="I847:I852" si="20">CONCATENATE(N833,"-",J4)</f>
        <v>-srebrny</v>
      </c>
      <c r="Z847" s="1" t="b">
        <f t="shared" si="18"/>
        <v>1</v>
      </c>
    </row>
    <row r="848" spans="1:26" ht="15" customHeight="1" x14ac:dyDescent="0.3">
      <c r="A848" s="421">
        <v>229433</v>
      </c>
      <c r="B848" s="422" t="s">
        <v>1715</v>
      </c>
      <c r="C848" s="420" t="str">
        <f t="shared" si="19"/>
        <v>4,8-złoty/mosiądz</v>
      </c>
      <c r="D848" s="421">
        <v>229433</v>
      </c>
      <c r="E848" s="419" t="str">
        <f>+VLOOKUP(A848,cennik!A:G,2,FALSE)</f>
        <v>SEVROLL szczotka odbojowa bez kleju 4,8x4mm</v>
      </c>
      <c r="F848" s="419" t="str">
        <f>+VLOOKUP(A848,cennik!A:B,2,FALSE)</f>
        <v>SEVROLL szczotka odbojowa bez kleju 4,8x4mm</v>
      </c>
      <c r="G848" s="417"/>
      <c r="H848" s="417">
        <v>4.8</v>
      </c>
      <c r="I848" s="420" t="str">
        <f t="shared" si="20"/>
        <v>-złoty/mosiądz</v>
      </c>
      <c r="Z848" s="1" t="b">
        <f t="shared" si="18"/>
        <v>1</v>
      </c>
    </row>
    <row r="849" spans="1:26" ht="15" customHeight="1" x14ac:dyDescent="0.3">
      <c r="A849" s="421">
        <v>229433</v>
      </c>
      <c r="B849" s="422" t="s">
        <v>1715</v>
      </c>
      <c r="C849" s="420" t="str">
        <f t="shared" si="19"/>
        <v>4,8-j.brąz</v>
      </c>
      <c r="D849" s="421">
        <v>229433</v>
      </c>
      <c r="E849" s="419" t="str">
        <f>+VLOOKUP(A849,cennik!A:G,2,FALSE)</f>
        <v>SEVROLL szczotka odbojowa bez kleju 4,8x4mm</v>
      </c>
      <c r="F849" s="419" t="str">
        <f>+VLOOKUP(A849,cennik!A:B,2,FALSE)</f>
        <v>SEVROLL szczotka odbojowa bez kleju 4,8x4mm</v>
      </c>
      <c r="G849" s="417"/>
      <c r="H849" s="417">
        <v>4.8</v>
      </c>
      <c r="I849" s="420" t="str">
        <f t="shared" si="20"/>
        <v>-j.brąz</v>
      </c>
      <c r="Z849" s="1" t="b">
        <f t="shared" si="18"/>
        <v>1</v>
      </c>
    </row>
    <row r="850" spans="1:26" ht="15" customHeight="1" x14ac:dyDescent="0.3">
      <c r="A850" s="421">
        <v>229433</v>
      </c>
      <c r="B850" s="422" t="s">
        <v>1715</v>
      </c>
      <c r="C850" s="420" t="str">
        <f t="shared" si="19"/>
        <v>4,8-j.brąz szczotkowany</v>
      </c>
      <c r="D850" s="421">
        <v>229433</v>
      </c>
      <c r="E850" s="419" t="str">
        <f>+VLOOKUP(A850,cennik!A:G,2,FALSE)</f>
        <v>SEVROLL szczotka odbojowa bez kleju 4,8x4mm</v>
      </c>
      <c r="F850" s="419" t="str">
        <f>+VLOOKUP(A850,cennik!A:B,2,FALSE)</f>
        <v>SEVROLL szczotka odbojowa bez kleju 4,8x4mm</v>
      </c>
      <c r="G850" s="417"/>
      <c r="H850" s="417">
        <v>4.8</v>
      </c>
      <c r="I850" s="420" t="str">
        <f t="shared" si="20"/>
        <v>-j.brąz szczotkowany</v>
      </c>
      <c r="Z850" s="1" t="b">
        <f t="shared" ref="Z850:Z885" si="21">A850=D850</f>
        <v>1</v>
      </c>
    </row>
    <row r="851" spans="1:26" ht="15" customHeight="1" x14ac:dyDescent="0.3">
      <c r="A851" s="421">
        <v>229433</v>
      </c>
      <c r="B851" s="422" t="s">
        <v>1715</v>
      </c>
      <c r="C851" s="420" t="str">
        <f t="shared" si="19"/>
        <v>4,8-szczot.oliwa ciemna</v>
      </c>
      <c r="D851" s="421">
        <v>229433</v>
      </c>
      <c r="E851" s="419" t="str">
        <f>+VLOOKUP(A851,cennik!A:G,2,FALSE)</f>
        <v>SEVROLL szczotka odbojowa bez kleju 4,8x4mm</v>
      </c>
      <c r="F851" s="419" t="str">
        <f>+VLOOKUP(A851,cennik!A:B,2,FALSE)</f>
        <v>SEVROLL szczotka odbojowa bez kleju 4,8x4mm</v>
      </c>
      <c r="G851" s="417"/>
      <c r="H851" s="417">
        <v>4.8</v>
      </c>
      <c r="I851" s="420" t="str">
        <f t="shared" si="20"/>
        <v>-szczot.oliwa ciemna</v>
      </c>
      <c r="Z851" s="1" t="b">
        <f t="shared" si="21"/>
        <v>1</v>
      </c>
    </row>
    <row r="852" spans="1:26" ht="15" customHeight="1" x14ac:dyDescent="0.3">
      <c r="A852" s="424">
        <v>409699</v>
      </c>
      <c r="B852" s="422" t="s">
        <v>1715</v>
      </c>
      <c r="C852" s="420" t="str">
        <f t="shared" si="19"/>
        <v>4,8-szczot.czarna</v>
      </c>
      <c r="D852" s="424">
        <v>409699</v>
      </c>
      <c r="E852" s="419" t="str">
        <f>+VLOOKUP(A852,cennik!A:G,2,FALSE)</f>
        <v>SEVROLL 20403-SV szczotka odbojowa wsuwana 4,8x4mm czarna</v>
      </c>
      <c r="F852" s="419" t="str">
        <f>+VLOOKUP(A852,cennik!A:B,2,FALSE)</f>
        <v>SEVROLL 20403-SV szczotka odbojowa wsuwana 4,8x4mm czarna</v>
      </c>
      <c r="G852" s="417"/>
      <c r="H852" s="417">
        <v>4.8</v>
      </c>
      <c r="I852" s="420" t="str">
        <f t="shared" si="20"/>
        <v>-szczot.czarna</v>
      </c>
      <c r="Z852" s="1" t="b">
        <f t="shared" si="21"/>
        <v>1</v>
      </c>
    </row>
    <row r="853" spans="1:26" ht="15" customHeight="1" x14ac:dyDescent="0.3">
      <c r="A853" s="421">
        <v>305137</v>
      </c>
      <c r="B853" s="422" t="s">
        <v>1715</v>
      </c>
      <c r="C853" s="420" t="str">
        <f>CONCATENATE(H853,"-",J15)</f>
        <v>4,8- biały połysk</v>
      </c>
      <c r="D853" s="421">
        <v>305137</v>
      </c>
      <c r="E853" s="419" t="str">
        <f>+VLOOKUP(A853,cennik!A:G,2,FALSE)</f>
        <v>SEVROLL szczotka odbojowa bez kleju 4,8x4mm biała</v>
      </c>
      <c r="F853" s="419" t="str">
        <f>+VLOOKUP(A853,cennik!A:B,2,FALSE)</f>
        <v>SEVROLL szczotka odbojowa bez kleju 4,8x4mm biała</v>
      </c>
      <c r="G853" s="417"/>
      <c r="H853" s="417">
        <v>4.8</v>
      </c>
      <c r="I853" s="417" t="str">
        <f>J15</f>
        <v> biały połysk</v>
      </c>
      <c r="Z853" s="1" t="b">
        <f t="shared" si="21"/>
        <v>1</v>
      </c>
    </row>
    <row r="854" spans="1:26" ht="15" customHeight="1" x14ac:dyDescent="0.3">
      <c r="A854" s="421">
        <v>305137</v>
      </c>
      <c r="B854" s="422" t="s">
        <v>1715</v>
      </c>
      <c r="C854" s="420" t="str">
        <f>CONCATENATE(H854,"-",J18)</f>
        <v>4,8-biały mat</v>
      </c>
      <c r="D854" s="421">
        <v>305137</v>
      </c>
      <c r="E854" s="419" t="str">
        <f>+VLOOKUP(A854,cennik!A:G,2,FALSE)</f>
        <v>SEVROLL szczotka odbojowa bez kleju 4,8x4mm biała</v>
      </c>
      <c r="F854" s="419" t="str">
        <f>+VLOOKUP(A854,cennik!A:B,2,FALSE)</f>
        <v>SEVROLL szczotka odbojowa bez kleju 4,8x4mm biała</v>
      </c>
      <c r="G854" s="417"/>
      <c r="H854" s="417">
        <v>4.8</v>
      </c>
      <c r="I854" s="417" t="str">
        <f>J18</f>
        <v>biały mat</v>
      </c>
      <c r="Z854" s="1" t="b">
        <f t="shared" si="21"/>
        <v>1</v>
      </c>
    </row>
    <row r="855" spans="1:26" ht="15" customHeight="1" x14ac:dyDescent="0.3">
      <c r="A855" s="423">
        <v>409700</v>
      </c>
      <c r="B855" s="422" t="s">
        <v>1715</v>
      </c>
      <c r="C855" s="420" t="str">
        <f>CONCATENATE(H855,"-",J16)</f>
        <v>14,5-czarny połysk</v>
      </c>
      <c r="D855" s="423">
        <v>409700</v>
      </c>
      <c r="E855" s="419" t="str">
        <f>+VLOOKUP(A855,cennik!A:G,2,FALSE)</f>
        <v>SEVROLL 
20334-SV szczotka odbojowa wsuwana 14x4mm czarna</v>
      </c>
      <c r="F855" s="419" t="str">
        <f>+VLOOKUP(A855,cennik!A:B,2,FALSE)</f>
        <v>SEVROLL 
20334-SV szczotka odbojowa wsuwana 14x4mm czarna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3">
      <c r="A856" s="424">
        <v>409699</v>
      </c>
      <c r="B856" s="422" t="s">
        <v>1715</v>
      </c>
      <c r="C856" s="420" t="str">
        <f>CONCATENATE(H856,"-",J16)</f>
        <v>4,8-czarny połysk</v>
      </c>
      <c r="D856" s="424">
        <v>409699</v>
      </c>
      <c r="E856" s="419" t="str">
        <f>+VLOOKUP(A856,cennik!A:G,2,FALSE)</f>
        <v>SEVROLL 20403-SV szczotka odbojowa wsuwana 4,8x4mm czarna</v>
      </c>
      <c r="F856" s="419" t="str">
        <f>+VLOOKUP(A856,cennik!A:B,2,FALSE)</f>
        <v>SEVROLL 20403-SV szczotka odbojowa wsuwana 4,8x4mm czarna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3">
      <c r="A857" s="423">
        <v>409700</v>
      </c>
      <c r="B857" s="422" t="s">
        <v>1715</v>
      </c>
      <c r="C857" s="420" t="str">
        <f>CONCATENATE(H857,"-",J17)</f>
        <v>14,5- czarny mat</v>
      </c>
      <c r="D857" s="423">
        <v>409700</v>
      </c>
      <c r="E857" s="419" t="str">
        <f>+VLOOKUP(A857,cennik!A:G,2,FALSE)</f>
        <v>SEVROLL 
20334-SV szczotka odbojowa wsuwana 14x4mm czarna</v>
      </c>
      <c r="F857" s="419" t="str">
        <f>+VLOOKUP(A857,cennik!A:B,2,FALSE)</f>
        <v>SEVROLL 
20334-SV szczotka odbojowa wsuwana 14x4mm czarna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3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
20334-SV szczotka odbojowa wsuwana 14x4mm czarna</v>
      </c>
      <c r="F858" s="419" t="str">
        <f>+VLOOKUP(A858,cennik!A:B,2,FALSE)</f>
        <v>SEVROLL 
20334-SV szczotka odbojowa wsuwana 14x4mm czarna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3">
      <c r="A859" s="424">
        <v>409699</v>
      </c>
      <c r="B859" s="422" t="s">
        <v>1715</v>
      </c>
      <c r="C859" s="420" t="str">
        <f>CONCATENATE(H859,"-",J17)</f>
        <v>4,8- czarny mat</v>
      </c>
      <c r="D859" s="424">
        <v>409699</v>
      </c>
      <c r="E859" s="419" t="str">
        <f>+VLOOKUP(A859,cennik!A:G,2,FALSE)</f>
        <v>SEVROLL 20403-SV szczotka odbojowa wsuwana 4,8x4mm czarna</v>
      </c>
      <c r="F859" s="419" t="str">
        <f>+VLOOKUP(A859,cennik!A:B,2,FALSE)</f>
        <v>SEVROLL 20403-SV szczotka odbojowa wsuwana 4,8x4mm czarna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3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szczotka odbojowa wsuwana 4,8x4mm czarna</v>
      </c>
      <c r="F860" s="419" t="str">
        <f>+VLOOKUP(A860,cennik!A:B,2,FALSE)</f>
        <v>SEVROLL 20403-SV szczotka odbojowa wsuwana 4,8x4mm czarna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3">
      <c r="A861" s="421">
        <v>305137</v>
      </c>
      <c r="B861" s="422" t="s">
        <v>1715</v>
      </c>
      <c r="C861" s="420" t="str">
        <f>CONCATENATE(H861,"-",J18)</f>
        <v>4,8-biały mat</v>
      </c>
      <c r="D861" s="421">
        <v>305137</v>
      </c>
      <c r="E861" s="419" t="str">
        <f>+VLOOKUP(A861,cennik!A:G,2,FALSE)</f>
        <v>SEVROLL szczotka odbojowa bez kleju 4,8x4mm biała</v>
      </c>
      <c r="F861" s="419" t="str">
        <f>+VLOOKUP(A861,cennik!A:B,2,FALSE)</f>
        <v>SEVROLL szczotka odbojowa bez kleju 4,8x4mm biała</v>
      </c>
      <c r="G861" s="419" t="e">
        <f>+VLOOKUP(B861,cennik!B:C,2,FALSE)</f>
        <v>#N/A</v>
      </c>
      <c r="H861" s="417">
        <v>4.8</v>
      </c>
      <c r="I861" s="417" t="str">
        <f>J15</f>
        <v> biały połysk</v>
      </c>
      <c r="Z861" s="1" t="b">
        <f t="shared" si="21"/>
        <v>1</v>
      </c>
    </row>
    <row r="862" spans="1:26" s="437" customFormat="1" ht="15" customHeight="1" x14ac:dyDescent="0.3">
      <c r="A862" s="424">
        <v>409699</v>
      </c>
      <c r="B862" s="422" t="s">
        <v>1715</v>
      </c>
      <c r="C862" s="420" t="str">
        <f>CONCATENATE(H862,"-",J22)</f>
        <v>4,8-czarny lakier strukturalny</v>
      </c>
      <c r="D862" s="424">
        <v>409699</v>
      </c>
      <c r="E862" s="419" t="str">
        <f>+VLOOKUP(A862,cennik!A:G,2,FALSE)</f>
        <v>SEVROLL 20403-SV szczotka odbojowa wsuwana 4,8x4mm czarna</v>
      </c>
      <c r="F862" s="419" t="str">
        <f>+VLOOKUP(A862,cennik!A:B,2,FALSE)</f>
        <v>SEVROLL 20403-SV szczotka odbojowa wsuwana 4,8x4mm czarna</v>
      </c>
      <c r="G862" s="417"/>
      <c r="H862" s="417">
        <v>4.8</v>
      </c>
      <c r="I862" s="417" t="str">
        <f>J22</f>
        <v>czarny lakier strukturalny</v>
      </c>
      <c r="Z862" s="1"/>
    </row>
    <row r="863" spans="1:26" s="437" customFormat="1" ht="15" customHeight="1" x14ac:dyDescent="0.3">
      <c r="A863" s="423">
        <v>409700</v>
      </c>
      <c r="B863" s="422" t="s">
        <v>1715</v>
      </c>
      <c r="C863" s="420" t="str">
        <f>CONCATENATE(H863,"-",J22)</f>
        <v>14,5-czarny lakier strukturalny</v>
      </c>
      <c r="D863" s="423">
        <v>409700</v>
      </c>
      <c r="E863" s="419" t="str">
        <f>+VLOOKUP(A863,cennik!A:G,2,FALSE)</f>
        <v>SEVROLL 
20334-SV szczotka odbojowa wsuwana 14x4mm czarna</v>
      </c>
      <c r="F863" s="419" t="str">
        <f>+VLOOKUP(A863,cennik!A:B,2,FALSE)</f>
        <v>SEVROLL 
20334-SV szczotka odbojowa wsuwana 14x4mm czarna</v>
      </c>
      <c r="G863" s="417"/>
      <c r="H863" s="417">
        <v>14.5</v>
      </c>
      <c r="I863" s="417" t="str">
        <f>J22</f>
        <v>czarny lakier strukturalny</v>
      </c>
      <c r="Z863" s="1"/>
    </row>
    <row r="864" spans="1:26" s="437" customFormat="1" ht="15" customHeight="1" x14ac:dyDescent="0.3">
      <c r="A864" s="425">
        <v>452604</v>
      </c>
      <c r="B864" s="425"/>
      <c r="C864" s="425" t="str">
        <f>CONCATENATE(H864,"-",J17)</f>
        <v>3000- czarny mat</v>
      </c>
      <c r="D864" s="425">
        <v>452604</v>
      </c>
      <c r="E864" s="426" t="str">
        <f>+VLOOKUP(A864,cennik!A:G,2,FALSE)</f>
        <v>SEVROLL listwa łącząca H30 3m czarny mat</v>
      </c>
      <c r="F864" s="426" t="str">
        <f>+VLOOKUP(A864,cennik!A:B,2,FALSE)</f>
        <v>SEVROLL listwa łącząca H30 3m czarny mat</v>
      </c>
      <c r="G864" s="425"/>
      <c r="H864" s="425">
        <v>3000</v>
      </c>
      <c r="I864" s="425" t="str">
        <f>CONCATENATE(H864,"-",J17)</f>
        <v>3000- czarny mat</v>
      </c>
      <c r="Z864" s="1" t="b">
        <f t="shared" si="21"/>
        <v>1</v>
      </c>
    </row>
    <row r="865" spans="1:26" s="437" customFormat="1" ht="15" customHeight="1" x14ac:dyDescent="0.3">
      <c r="A865" s="1">
        <v>278164</v>
      </c>
      <c r="B865" s="1"/>
      <c r="C865" s="1" t="str">
        <f>CONCATENATE(H865,"-",J17)</f>
        <v>2700- czarny mat</v>
      </c>
      <c r="D865" s="1">
        <v>278164</v>
      </c>
      <c r="E865" s="48" t="str">
        <f>+VLOOKUP(A865,cennik!A:G,2,FALSE)</f>
        <v>SEVROLL Gemini rączka 2,7m czarny mat</v>
      </c>
      <c r="F865" s="48" t="str">
        <f>+VLOOKUP(A865,cennik!A:B,2,FALSE)</f>
        <v>SEVROLL Gemini rączka 2,7m czarny mat</v>
      </c>
      <c r="G865" s="1"/>
      <c r="H865" s="1">
        <v>2700</v>
      </c>
      <c r="I865" s="1" t="str">
        <f>CONCATENATE(H865,"-",J17)</f>
        <v>2700- czarny mat</v>
      </c>
      <c r="Z865" s="1" t="b">
        <f t="shared" si="21"/>
        <v>1</v>
      </c>
    </row>
    <row r="866" spans="1:26" s="437" customFormat="1" ht="15" customHeight="1" x14ac:dyDescent="0.3">
      <c r="A866" s="1">
        <v>409674</v>
      </c>
      <c r="B866" s="1"/>
      <c r="C866" s="1" t="str">
        <f>CONCATENATE(H866,"-",J17)</f>
        <v>4050- czarny mat</v>
      </c>
      <c r="D866" s="1">
        <v>409674</v>
      </c>
      <c r="E866" s="48" t="str">
        <f>+VLOOKUP(A866,cennik!A:G,2,FALSE)</f>
        <v>SEVROLL 04835 Gemini tor górny 4,05 m czarny mat</v>
      </c>
      <c r="F866" s="48" t="str">
        <f>+VLOOKUP(A866,cennik!A:B,2,FALSE)</f>
        <v>SEVROLL 04835 Gemini tor górny 4,05 m czarny mat</v>
      </c>
      <c r="G866" s="1"/>
      <c r="H866" s="1">
        <v>4050</v>
      </c>
      <c r="I866" s="1" t="str">
        <f>CONCATENATE(H866,"-",J17)</f>
        <v>4050- czarny mat</v>
      </c>
      <c r="Z866" s="1" t="b">
        <f t="shared" si="21"/>
        <v>1</v>
      </c>
    </row>
    <row r="867" spans="1:26" s="437" customFormat="1" ht="15" customHeight="1" x14ac:dyDescent="0.3">
      <c r="A867" s="1">
        <v>452601</v>
      </c>
      <c r="B867" s="1"/>
      <c r="C867" s="1" t="str">
        <f>CONCATENATE(H867,"-",J17)</f>
        <v>2700- czarny mat</v>
      </c>
      <c r="D867" s="1">
        <v>452601</v>
      </c>
      <c r="E867" s="48" t="str">
        <f>+VLOOKUP(A867,cennik!A:G,2,FALSE)</f>
        <v>SEVROLL 05306 Faworyt II rączka 2,7 m, czarna matowa</v>
      </c>
      <c r="F867" s="48" t="str">
        <f>+VLOOKUP(A867,cennik!A:B,2,FALSE)</f>
        <v>SEVROLL 05306 Faworyt II rączka 2,7 m, czarna matowa</v>
      </c>
      <c r="G867" s="1"/>
      <c r="H867" s="1">
        <v>2700</v>
      </c>
      <c r="I867" s="1" t="str">
        <f>CONCATENATE(H867,"-",J17)</f>
        <v>2700- czarny mat</v>
      </c>
      <c r="Z867" s="1" t="b">
        <f t="shared" si="21"/>
        <v>1</v>
      </c>
    </row>
    <row r="868" spans="1:26" s="437" customFormat="1" ht="15" customHeight="1" x14ac:dyDescent="0.3">
      <c r="A868" s="2">
        <v>452735</v>
      </c>
      <c r="B868" s="1"/>
      <c r="C868" s="1" t="str">
        <f>CONCATENATE(H868,"-",J17)</f>
        <v>3000- czarny mat</v>
      </c>
      <c r="D868" s="2">
        <v>452735</v>
      </c>
      <c r="E868" s="429" t="str">
        <f>+VLOOKUP(A868,cennik!A:G,2,FALSE)</f>
        <v>SEVROLL Pax tor dolny 3m czarny mat</v>
      </c>
      <c r="F868" s="48" t="str">
        <f>+VLOOKUP(A868,cennik!A:B,2,FALSE)</f>
        <v>SEVROLL Pax tor dolny 3m czarny mat</v>
      </c>
      <c r="G868" s="1"/>
      <c r="H868" s="1">
        <v>3000</v>
      </c>
      <c r="I868" s="1" t="str">
        <f>CONCATENATE(H868,"-",J17)</f>
        <v>3000- czarny mat</v>
      </c>
      <c r="Z868" s="1" t="b">
        <f t="shared" si="21"/>
        <v>1</v>
      </c>
    </row>
    <row r="869" spans="1:26" s="437" customFormat="1" ht="15" customHeight="1" x14ac:dyDescent="0.3">
      <c r="A869" s="2">
        <v>456332</v>
      </c>
      <c r="B869" s="1"/>
      <c r="C869" s="1" t="str">
        <f>CONCATENATE(H869,"-",J17)</f>
        <v>2700- czarny mat</v>
      </c>
      <c r="D869" s="2">
        <v>456332</v>
      </c>
      <c r="E869" s="48" t="str">
        <f>+VLOOKUP(A869,cennik!A:G,2,FALSE)</f>
        <v>SEVROLL Pax rączka 2,7 m, czarny mat</v>
      </c>
      <c r="F869" s="48" t="str">
        <f>+VLOOKUP(A869,cennik!A:B,2,FALSE)</f>
        <v>SEVROLL Pax rączka 2,7 m, czarny mat</v>
      </c>
      <c r="G869" s="1"/>
      <c r="H869" s="1">
        <v>2700</v>
      </c>
      <c r="I869" s="1" t="str">
        <f>CONCATENATE(H869,"-",J17)</f>
        <v>2700- czarny mat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 czarny mat</v>
      </c>
      <c r="D870" s="2">
        <v>456333</v>
      </c>
      <c r="E870" s="48" t="str">
        <f>+VLOOKUP(A870,cennik!A:G,2,FALSE)</f>
        <v>SEVROLL Pax rączka 3m, czarny mat</v>
      </c>
      <c r="F870" s="48" t="str">
        <f>+VLOOKUP(A870,cennik!A:B,2,FALSE)</f>
        <v>SEVROLL Pax rączka 3m, czarny mat</v>
      </c>
      <c r="H870" s="1">
        <v>3000</v>
      </c>
      <c r="I870" s="1" t="str">
        <f>CONCATENATE(H870,"-",J17)</f>
        <v>3000- czarny mat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 czarny mat</v>
      </c>
      <c r="D871" s="1">
        <v>422012</v>
      </c>
      <c r="E871" s="48" t="str">
        <f>+VLOOKUP(A871,cennik!A:G,2,FALSE)</f>
        <v>SEVROLL Pax zaślepka do rączki (4 szt.), czarny mat</v>
      </c>
      <c r="F871" s="48" t="str">
        <f>+VLOOKUP(A871,cennik!A:B,2,FALSE)</f>
        <v>SEVROLL Pax zaślepka do rączki (4 szt.), czarny mat</v>
      </c>
      <c r="I871" s="1" t="str">
        <f>CONCATENATE(H871,"-",J17)</f>
        <v>- czarny mat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 czarny mat</v>
      </c>
      <c r="D872" s="1">
        <v>452606</v>
      </c>
      <c r="E872" s="48" t="str">
        <f>+VLOOKUP(A872,cennik!A:G,2,FALSE)</f>
        <v>SEVROLL 05341 teownik 04 3m czarny mat</v>
      </c>
      <c r="F872" s="48" t="str">
        <f>+VLOOKUP(A872,cennik!A:B,2,FALSE)</f>
        <v>SEVROLL 05341 teownik 04 3m czarny mat</v>
      </c>
      <c r="H872" s="1">
        <v>3000</v>
      </c>
      <c r="I872" s="1" t="str">
        <f>CONCATENATE(H872,"-",J17)</f>
        <v>3000- czarny mat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 czarny mat</v>
      </c>
      <c r="D873" s="1">
        <v>422009</v>
      </c>
      <c r="E873" s="48" t="str">
        <f>+VLOOKUP(A873,cennik!A:G,2,FALSE)</f>
        <v>SEVROLL Pax uchwyt przyklejany czarny polysk</v>
      </c>
      <c r="F873" s="48" t="str">
        <f>+VLOOKUP(A873,cennik!A:B,2,FALSE)</f>
        <v>SEVROLL Pax uchwyt przyklejany czarny polysk</v>
      </c>
      <c r="I873" s="1" t="str">
        <f>CONCATENATE(H873,"-",J17)</f>
        <v>- czarny mat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 czarny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 czarny mat</v>
      </c>
      <c r="Z874" s="1" t="b">
        <f t="shared" si="21"/>
        <v>1</v>
      </c>
    </row>
    <row r="875" spans="1:26" ht="15" customHeight="1" x14ac:dyDescent="0.3">
      <c r="A875" s="436">
        <v>276731</v>
      </c>
      <c r="B875" s="437"/>
      <c r="C875" s="437" t="str">
        <f>CONCATENATE(H875,"-",J18)</f>
        <v>3000-biały mat</v>
      </c>
      <c r="D875" s="436">
        <v>276731</v>
      </c>
      <c r="E875" s="438" t="str">
        <f>+VLOOKUP(A875,cennik!A:G,2,FALSE)</f>
        <v>SEVROLL kątownik Mini 17x11 mm 3 m, biały matowy</v>
      </c>
      <c r="F875" s="438" t="str">
        <f>+VLOOKUP(A875,cennik!A:B,2,FALSE)</f>
        <v>SEVROLL kątownik Mini 17x11 mm 3 m, biały matowy</v>
      </c>
      <c r="G875" s="437"/>
      <c r="H875" s="437">
        <v>3000</v>
      </c>
      <c r="I875" s="437" t="str">
        <f>CONCATENATE(H875,"-",J18)</f>
        <v>3000-biały mat</v>
      </c>
      <c r="Z875" s="1" t="b">
        <f t="shared" si="21"/>
        <v>1</v>
      </c>
    </row>
    <row r="876" spans="1:26" s="434" customFormat="1" ht="15" customHeight="1" x14ac:dyDescent="0.3">
      <c r="A876" s="436">
        <v>276742</v>
      </c>
      <c r="B876" s="437"/>
      <c r="C876" s="437" t="str">
        <f>CONCATENATE(H876,"-",J18)</f>
        <v>2700-biały mat</v>
      </c>
      <c r="D876" s="436">
        <v>276742</v>
      </c>
      <c r="E876" s="438" t="str">
        <f>+VLOOKUP(A876,cennik!A:G,2,FALSE)</f>
        <v>SEVROLL Faworyt II rączka 2,7 m, biała matowa</v>
      </c>
      <c r="F876" s="438" t="str">
        <f>+VLOOKUP(A876,cennik!A:B,2,FALSE)</f>
        <v>SEVROLL Faworyt II rączka 2,7 m, biała matowa</v>
      </c>
      <c r="G876" s="437"/>
      <c r="H876" s="437">
        <v>2700</v>
      </c>
      <c r="I876" s="437" t="str">
        <f>CONCATENATE(H876,"-",J18)</f>
        <v>2700-biały mat</v>
      </c>
      <c r="Z876" s="1" t="b">
        <f t="shared" si="21"/>
        <v>1</v>
      </c>
    </row>
    <row r="877" spans="1:26" s="434" customFormat="1" ht="15" customHeight="1" x14ac:dyDescent="0.3">
      <c r="A877" s="436">
        <v>394791</v>
      </c>
      <c r="B877" s="437"/>
      <c r="C877" s="437" t="str">
        <f>CONCATENATE(H877,"-",J18)</f>
        <v>2700-biały mat</v>
      </c>
      <c r="D877" s="436">
        <v>394791</v>
      </c>
      <c r="E877" s="438" t="str">
        <f>+VLOOKUP(A877,cennik!A:G,2,FALSE)</f>
        <v>SEVROLL Alfa II rączka 18mm 2,7m biały matowy</v>
      </c>
      <c r="F877" s="438" t="str">
        <f>+VLOOKUP(A877,cennik!A:B,2,FALSE)</f>
        <v>SEVROLL Alfa II rączka 18mm 2,7m biały matowy</v>
      </c>
      <c r="G877" s="437"/>
      <c r="H877" s="437">
        <v>2700</v>
      </c>
      <c r="I877" s="437" t="str">
        <f>CONCATENATE(H877,"-",J18)</f>
        <v>2700-biały mat</v>
      </c>
      <c r="Z877" s="1" t="b">
        <f t="shared" si="21"/>
        <v>1</v>
      </c>
    </row>
    <row r="878" spans="1:26" s="434" customFormat="1" ht="15" customHeight="1" x14ac:dyDescent="0.3">
      <c r="A878" s="436">
        <v>406464</v>
      </c>
      <c r="B878" s="437"/>
      <c r="C878" s="437" t="str">
        <f>CONCATENATE(H878,"-",J18)</f>
        <v>3000-biały mat</v>
      </c>
      <c r="D878" s="436">
        <v>406464</v>
      </c>
      <c r="E878" s="438" t="str">
        <f>+VLOOKUP(A878,cennik!A:G,2,FALSE)</f>
        <v>SEVROLL profil "U" do płyty laminowanej 18mm 3m biały matowy</v>
      </c>
      <c r="F878" s="438" t="str">
        <f>+VLOOKUP(A878,cennik!A:B,2,FALSE)</f>
        <v>SEVROLL profil "U" do płyty laminowanej 18mm 3m biały matowy</v>
      </c>
      <c r="G878" s="437"/>
      <c r="H878" s="437">
        <v>3000</v>
      </c>
      <c r="I878" s="437" t="str">
        <f>CONCATENATE(H878,"-",J18)</f>
        <v>3000-biały mat</v>
      </c>
      <c r="Z878" s="1" t="b">
        <f t="shared" si="21"/>
        <v>1</v>
      </c>
    </row>
    <row r="879" spans="1:26" s="434" customFormat="1" ht="15" customHeight="1" x14ac:dyDescent="0.3">
      <c r="A879" s="434">
        <v>372603</v>
      </c>
      <c r="C879" s="434" t="str">
        <f>CONCATENATE(H879,"-",J15)</f>
        <v>2700- biały połysk</v>
      </c>
      <c r="D879" s="434">
        <v>372603</v>
      </c>
      <c r="E879" s="432" t="str">
        <f>+VLOOKUP(A879,cennik!A:G,2,FALSE)</f>
        <v>Sevroll Rączka Era 18 mm 2,70 m, biała połysk</v>
      </c>
      <c r="F879" s="432" t="str">
        <f>+VLOOKUP(A879,cennik!A:B,2,FALSE)</f>
        <v>Sevroll Rączka Era 18 mm 2,70 m, biała połysk</v>
      </c>
      <c r="H879" s="434">
        <v>2700</v>
      </c>
      <c r="I879" s="434" t="str">
        <f>CONCATENATE(H879,"-",J15)</f>
        <v>2700- biały połysk</v>
      </c>
      <c r="Z879" s="1" t="b">
        <f t="shared" si="21"/>
        <v>1</v>
      </c>
    </row>
    <row r="880" spans="1:26" s="434" customFormat="1" ht="15" customHeight="1" x14ac:dyDescent="0.3">
      <c r="A880" s="434">
        <v>394231</v>
      </c>
      <c r="C880" s="434" t="str">
        <f>CONCATENATE(H880,"-",J15)</f>
        <v>2000- biały połysk</v>
      </c>
      <c r="D880" s="434">
        <v>394231</v>
      </c>
      <c r="E880" s="432" t="str">
        <f>+VLOOKUP(A880,cennik!A:G,2,FALSE)</f>
        <v>SEVROLL dolna listwa maskująca Simple/Blue 2m(do lam.18mm) biały błyszczący</v>
      </c>
      <c r="F880" s="432" t="str">
        <f>+VLOOKUP(A880,cennik!A:B,2,FALSE)</f>
        <v>SEVROLL dolna listwa maskująca Simple/Blue 2m(do lam.18mm) biały błyszczący</v>
      </c>
      <c r="H880" s="434">
        <v>2000</v>
      </c>
      <c r="I880" s="434" t="str">
        <f>CONCATENATE(H880,"-",J15)</f>
        <v>2000- biały połysk</v>
      </c>
      <c r="Z880" s="1" t="b">
        <f t="shared" si="21"/>
        <v>1</v>
      </c>
    </row>
    <row r="881" spans="1:26" s="434" customFormat="1" ht="15" customHeight="1" x14ac:dyDescent="0.3">
      <c r="A881" s="434">
        <v>394265</v>
      </c>
      <c r="C881" s="434" t="str">
        <f>CONCATENATE(H881,"-",J15)</f>
        <v>3000- biały połysk</v>
      </c>
      <c r="D881" s="434">
        <v>394265</v>
      </c>
      <c r="E881" s="432" t="str">
        <f>+VLOOKUP(A881,cennik!A:G,2,FALSE)</f>
        <v>SEVROLL maskownica dolna Simple/Blue 3m (do płyty laminowanej 18mm) biały połysk</v>
      </c>
      <c r="F881" s="432" t="str">
        <f>+VLOOKUP(A881,cennik!A:B,2,FALSE)</f>
        <v>SEVROLL maskownica dolna Simple/Blue 3m (do płyty laminowanej 18mm) biały połysk</v>
      </c>
      <c r="H881" s="434">
        <v>3000</v>
      </c>
      <c r="I881" s="434" t="str">
        <f>CONCATENATE(H881,"-",J15)</f>
        <v>3000- biały połysk</v>
      </c>
      <c r="Z881" s="1" t="b">
        <f t="shared" si="21"/>
        <v>1</v>
      </c>
    </row>
    <row r="882" spans="1:26" s="434" customFormat="1" ht="15" customHeight="1" x14ac:dyDescent="0.3">
      <c r="A882" s="434">
        <v>394267</v>
      </c>
      <c r="C882" s="434" t="str">
        <f>CONCATENATE(H882,"-",J15)</f>
        <v>2000- biały połysk</v>
      </c>
      <c r="D882" s="434">
        <v>394267</v>
      </c>
      <c r="E882" s="432" t="str">
        <f>+VLOOKUP(A882,cennik!A:G,2,FALSE)</f>
        <v>SEVROLL górna listwa prowadząca Simple/Blue 2m (do lam. 18mm)biały błyszczący</v>
      </c>
      <c r="F882" s="432" t="str">
        <f>+VLOOKUP(A882,cennik!A:B,2,FALSE)</f>
        <v>SEVROLL górna listwa prowadząca Simple/Blue 2m (do lam. 18mm)biały błyszczący</v>
      </c>
      <c r="H882" s="434">
        <v>2000</v>
      </c>
      <c r="I882" s="434" t="str">
        <f>CONCATENATE(H882,"-",J15)</f>
        <v>2000- biały połysk</v>
      </c>
      <c r="Z882" s="1" t="b">
        <f t="shared" si="21"/>
        <v>1</v>
      </c>
    </row>
    <row r="883" spans="1:26" ht="15" customHeight="1" x14ac:dyDescent="0.3">
      <c r="A883" s="434">
        <v>394270</v>
      </c>
      <c r="B883" s="434"/>
      <c r="C883" s="434" t="str">
        <f>CONCATENATE(H883,"-",J15)</f>
        <v>3000- biały połysk</v>
      </c>
      <c r="D883" s="434">
        <v>394270</v>
      </c>
      <c r="E883" s="432" t="str">
        <f>+VLOOKUP(A883,cennik!A:G,2,FALSE)</f>
        <v>SEVROLL tor dolny Simple/Blue 3m (do płyty laminowanej 18mm) srebrny</v>
      </c>
      <c r="F883" s="432" t="str">
        <f>+VLOOKUP(A883,cennik!A:B,2,FALSE)</f>
        <v>SEVROLL tor dolny Simple/Blue 3m (do płyty laminowanej 18mm) srebrny</v>
      </c>
      <c r="G883" s="434"/>
      <c r="H883" s="434">
        <v>3000</v>
      </c>
      <c r="I883" s="434" t="str">
        <f>CONCATENATE(H883,"-",J15)</f>
        <v>3000- biały połysk</v>
      </c>
      <c r="Z883" s="1" t="b">
        <f t="shared" si="21"/>
        <v>1</v>
      </c>
    </row>
    <row r="884" spans="1:26" ht="15" customHeight="1" x14ac:dyDescent="0.3">
      <c r="A884" s="434">
        <v>394273</v>
      </c>
      <c r="B884" s="434"/>
      <c r="C884" s="434" t="str">
        <f>CONCATENATE(H884,"-",J15)</f>
        <v>3000- biały połysk</v>
      </c>
      <c r="D884" s="434">
        <v>394273</v>
      </c>
      <c r="E884" s="432" t="str">
        <f>+VLOOKUP(A884,cennik!A:G,2,FALSE)</f>
        <v>SEVROLL listwa łącząca Simple/Blue H21 3m (do płyty laminowanej 18mm) biały poły</v>
      </c>
      <c r="F884" s="432" t="str">
        <f>+VLOOKUP(A884,cennik!A:B,2,FALSE)</f>
        <v>SEVROLL listwa łącząca Simple/Blue H21 3m (do płyty laminowanej 18mm) biały poły</v>
      </c>
      <c r="G884" s="434"/>
      <c r="H884" s="434">
        <v>3000</v>
      </c>
      <c r="I884" s="434" t="str">
        <f>CONCATENATE(H884,"-",J15)</f>
        <v>3000- biały połysk</v>
      </c>
      <c r="Z884" s="1" t="b">
        <f t="shared" si="21"/>
        <v>1</v>
      </c>
    </row>
    <row r="885" spans="1:26" ht="15" customHeight="1" x14ac:dyDescent="0.3">
      <c r="A885" s="434">
        <v>394281</v>
      </c>
      <c r="B885" s="434"/>
      <c r="C885" s="434" t="str">
        <f>CONCATENATE(H885,"-",J15)</f>
        <v>3000- biały połysk</v>
      </c>
      <c r="D885" s="434">
        <v>394281</v>
      </c>
      <c r="E885" s="432" t="str">
        <f>+VLOOKUP(A885,cennik!A:G,2,FALSE)</f>
        <v>SEVROLL listwa łącząca Simple/Blue H28 3m (do płyty laminowanej 18mm) biały poły</v>
      </c>
      <c r="F885" s="432" t="str">
        <f>+VLOOKUP(A885,cennik!A:B,2,FALSE)</f>
        <v>SEVROLL listwa łącząca Simple/Blue H28 3m (do płyty laminowanej 18mm) biały poły</v>
      </c>
      <c r="G885" s="434"/>
      <c r="H885" s="434">
        <v>3000</v>
      </c>
      <c r="I885" s="434" t="str">
        <f>CONCATENATE(H885,"-",J15)</f>
        <v>3000- biały połysk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j.brąz</v>
      </c>
      <c r="D886" s="1">
        <v>489291</v>
      </c>
      <c r="E886" s="432" t="str">
        <f>+VLOOKUP(A886,cennik!A:G,2,FALSE)</f>
        <v>SEVROLL 05791 Prosper GM 18 rączka 2,7 m j.brąz</v>
      </c>
      <c r="F886" s="432" t="str">
        <f>+VLOOKUP(A886,cennik!A:B,2,FALSE)</f>
        <v>SEVROLL 05791 Prosper GM 18 rączka 2,7 m j.brąz</v>
      </c>
      <c r="I886" s="1" t="str">
        <f>J6</f>
        <v>j.brąz</v>
      </c>
    </row>
    <row r="887" spans="1:26" ht="15" customHeight="1" x14ac:dyDescent="0.3">
      <c r="A887" s="1">
        <v>489290</v>
      </c>
      <c r="C887" s="1" t="str">
        <f>J4</f>
        <v>srebrny</v>
      </c>
      <c r="D887" s="1">
        <v>489290</v>
      </c>
      <c r="E887" s="432" t="str">
        <f>+VLOOKUP(A887,cennik!A:G,2,FALSE)</f>
        <v>SEVROLL 05790 Prosper GM 18 rączka 2,7m srebrny</v>
      </c>
      <c r="F887" s="432" t="str">
        <f>+VLOOKUP(A887,cennik!A:B,2,FALSE)</f>
        <v>SEVROLL 05790 Prosper GM 18 rączka 2,7m srebrny</v>
      </c>
      <c r="I887" s="1" t="str">
        <f>J4</f>
        <v>srebrny</v>
      </c>
    </row>
    <row r="888" spans="1:26" ht="15" customHeight="1" x14ac:dyDescent="0.3">
      <c r="A888" s="1">
        <v>496942</v>
      </c>
      <c r="C888" s="1" t="str">
        <f>J4</f>
        <v>srebrny</v>
      </c>
      <c r="D888" s="1">
        <v>496942</v>
      </c>
      <c r="E888" s="432" t="str">
        <f>+VLOOKUP(A888,cennik!A:G,2,FALSE)</f>
        <v>SEVROLL 05804 GM 18 listwa łącząca H18 3m, srebrna</v>
      </c>
      <c r="F888" s="432" t="str">
        <f>+VLOOKUP(A888,cennik!A:B,2,FALSE)</f>
        <v>SEVROLL 05804 GM 18 listwa łącząca H18 3m, srebrna</v>
      </c>
      <c r="I888" s="1" t="str">
        <f>J4</f>
        <v>srebrny</v>
      </c>
    </row>
    <row r="889" spans="1:26" ht="15" customHeight="1" x14ac:dyDescent="0.3">
      <c r="A889" s="1">
        <v>496987</v>
      </c>
      <c r="C889" s="1" t="str">
        <f>J17</f>
        <v> czarny mat</v>
      </c>
      <c r="D889" s="1">
        <v>496987</v>
      </c>
      <c r="E889" s="432" t="str">
        <f>+VLOOKUP(A889,cennik!A:G,2,FALSE)</f>
        <v>SEVROLL 05924 GM 18 listwa łącząca H18 3m czarny mat</v>
      </c>
      <c r="F889" s="432" t="str">
        <f>+VLOOKUP(A889,cennik!A:B,2,FALSE)</f>
        <v>SEVROLL 05924 GM 18 listwa łącząca H18 3m czarny mat</v>
      </c>
      <c r="I889" s="1" t="str">
        <f>J17</f>
        <v> czarny mat</v>
      </c>
    </row>
    <row r="890" spans="1:26" ht="15" customHeight="1" x14ac:dyDescent="0.3">
      <c r="A890" s="1">
        <v>496986</v>
      </c>
      <c r="C890" s="1" t="str">
        <f>J6</f>
        <v>j.brąz</v>
      </c>
      <c r="D890" s="1">
        <v>496986</v>
      </c>
      <c r="E890" s="432" t="str">
        <f>+VLOOKUP(A890,cennik!A:G,2,FALSE)</f>
        <v>SEVROLL 05805 GM 18 listwa łącząca H18 3m jasny brąz</v>
      </c>
      <c r="F890" s="432" t="str">
        <f>+VLOOKUP(A890,cennik!A:B,2,FALSE)</f>
        <v>SEVROLL 05805 GM 18 listwa łącząca H18 3m jasny brąz</v>
      </c>
      <c r="I890" s="1" t="str">
        <f>J6</f>
        <v>j.brąz</v>
      </c>
    </row>
    <row r="891" spans="1:26" ht="15" customHeight="1" x14ac:dyDescent="0.3">
      <c r="A891" s="1">
        <v>496924</v>
      </c>
      <c r="C891" s="1" t="str">
        <f>J4</f>
        <v>srebrny</v>
      </c>
      <c r="D891" s="1">
        <v>496924</v>
      </c>
      <c r="E891" s="432" t="str">
        <f>+VLOOKUP(A891,cennik!A:G,2,FALSE)</f>
        <v>SEVROLL 05806 GM 18 listwa łącząca H25 3m, srebrna</v>
      </c>
      <c r="F891" s="432" t="str">
        <f>+VLOOKUP(A891,cennik!A:B,2,FALSE)</f>
        <v>SEVROLL 05806 GM 18 listwa łącząca H25 3m, srebrna</v>
      </c>
      <c r="I891" s="1" t="str">
        <f>J4</f>
        <v>srebrny</v>
      </c>
    </row>
    <row r="892" spans="1:26" ht="15" customHeight="1" x14ac:dyDescent="0.3">
      <c r="A892" s="1">
        <v>496996</v>
      </c>
      <c r="C892" s="1" t="str">
        <f>J17</f>
        <v> czarny mat</v>
      </c>
      <c r="D892" s="1">
        <v>496996</v>
      </c>
      <c r="E892" s="432" t="str">
        <f>+VLOOKUP(A892,cennik!A:G,2,FALSE)</f>
        <v>SEVROLL 05926 GM 18 listwa łącząca H25 3m czarny mat</v>
      </c>
      <c r="F892" s="432" t="str">
        <f>+VLOOKUP(A892,cennik!A:B,2,FALSE)</f>
        <v>SEVROLL 05926 GM 18 listwa łącząca H25 3m czarny mat</v>
      </c>
      <c r="I892" s="1" t="str">
        <f>J17</f>
        <v> czarny mat</v>
      </c>
    </row>
    <row r="893" spans="1:26" ht="15" customHeight="1" x14ac:dyDescent="0.3">
      <c r="A893" s="1">
        <v>496990</v>
      </c>
      <c r="C893" s="1" t="str">
        <f>J6</f>
        <v>j.brąz</v>
      </c>
      <c r="D893" s="1">
        <v>496990</v>
      </c>
      <c r="E893" s="432" t="str">
        <f>+VLOOKUP(A893,cennik!A:G,2,FALSE)</f>
        <v>SEVROLL 05807 GM 18 listwa łącząca H25 3m jasny brąz</v>
      </c>
      <c r="F893" s="432" t="str">
        <f>+VLOOKUP(A893,cennik!A:B,2,FALSE)</f>
        <v>SEVROLL 05807 GM 18 listwa łącząca H25 3m jasny brąz</v>
      </c>
      <c r="I893" s="1" t="str">
        <f>J6</f>
        <v>j.brąz</v>
      </c>
    </row>
    <row r="894" spans="1:26" ht="15" customHeight="1" x14ac:dyDescent="0.3">
      <c r="A894" s="2">
        <v>489293</v>
      </c>
      <c r="C894" s="1" t="str">
        <f>J6</f>
        <v>j.brąz</v>
      </c>
      <c r="D894" s="2">
        <v>489293</v>
      </c>
      <c r="E894" s="432" t="str">
        <f>+VLOOKUP(A894,cennik!A:G,2,FALSE)</f>
        <v>SEVROLL 05789 Arte GM 18 rączka 2,7m j.brąz</v>
      </c>
      <c r="F894" s="432" t="str">
        <f>+VLOOKUP(A894,cennik!A:B,2,FALSE)</f>
        <v>SEVROLL 05789 Arte GM 18 rączka 2,7m j.brąz</v>
      </c>
      <c r="H894" s="1">
        <v>2700</v>
      </c>
      <c r="I894" s="1" t="str">
        <f>J6</f>
        <v>j.brąz</v>
      </c>
    </row>
    <row r="895" spans="1:26" ht="15" customHeight="1" x14ac:dyDescent="0.3">
      <c r="A895" s="2">
        <v>489292</v>
      </c>
      <c r="C895" s="1" t="str">
        <f>J4</f>
        <v>srebrny</v>
      </c>
      <c r="D895" s="2">
        <v>489292</v>
      </c>
      <c r="E895" s="432" t="str">
        <f>+VLOOKUP(A895,cennik!A:G,2,FALSE)</f>
        <v>SEVROLL 05788 Arte GM 18 rączka 2,7m srebrny</v>
      </c>
      <c r="F895" s="432" t="str">
        <f>+VLOOKUP(A895,cennik!A:B,2,FALSE)</f>
        <v>SEVROLL 05788 Arte GM 18 rączka 2,7m srebrny</v>
      </c>
      <c r="H895" s="1">
        <v>2700</v>
      </c>
      <c r="I895" s="1" t="str">
        <f>J4</f>
        <v>srebrny</v>
      </c>
    </row>
    <row r="896" spans="1:26" ht="15" customHeight="1" x14ac:dyDescent="0.3">
      <c r="A896" s="1">
        <v>489294</v>
      </c>
      <c r="C896" s="1" t="str">
        <f>J17</f>
        <v> czarny mat</v>
      </c>
      <c r="D896" s="1">
        <v>489294</v>
      </c>
      <c r="E896" s="432" t="str">
        <f>+VLOOKUP(A896,cennik!A:G,2,FALSE)</f>
        <v>SEVROLL 05910 Arte GM 18 rączka 2,7m czarny mat</v>
      </c>
      <c r="F896" s="432" t="str">
        <f>+VLOOKUP(A896,cennik!A:B,2,FALSE)</f>
        <v>SEVROLL 05910 Arte GM 18 rączka 2,7m czarny mat</v>
      </c>
      <c r="H896" s="1">
        <v>2700</v>
      </c>
      <c r="I896" s="1" t="str">
        <f>J17</f>
        <v> czarny mat</v>
      </c>
    </row>
    <row r="897" spans="1:9" ht="15" customHeight="1" x14ac:dyDescent="0.3">
      <c r="A897" s="1">
        <v>489287</v>
      </c>
      <c r="C897" s="1" t="str">
        <f>J4</f>
        <v>srebrny</v>
      </c>
      <c r="D897" s="1">
        <v>489287</v>
      </c>
      <c r="E897" s="432" t="str">
        <f>+VLOOKUP(A897,cennik!A:G,2,FALSE)</f>
        <v>SEVROLL 05785 Porto GM 18 rączka 3m srebrny</v>
      </c>
      <c r="F897" s="432" t="str">
        <f>+VLOOKUP(A897,cennik!A:B,2,FALSE)</f>
        <v>SEVROLL 05785 Porto GM 18 rączka 3m srebrny</v>
      </c>
      <c r="H897" s="1">
        <v>3000</v>
      </c>
      <c r="I897" s="1" t="str">
        <f>J4</f>
        <v>srebrny</v>
      </c>
    </row>
    <row r="898" spans="1:9" ht="15" customHeight="1" x14ac:dyDescent="0.3">
      <c r="A898" s="1">
        <v>489289</v>
      </c>
      <c r="C898" s="1" t="str">
        <f>J6</f>
        <v>j.brąz</v>
      </c>
      <c r="D898" s="1">
        <v>489289</v>
      </c>
      <c r="E898" s="432" t="str">
        <f>+VLOOKUP(A898,cennik!A:G,2,FALSE)</f>
        <v>SEVROLL 05786 Porto GM 18 rączka 2,7m j.brąz</v>
      </c>
      <c r="F898" s="432" t="str">
        <f>+VLOOKUP(A898,cennik!A:B,2,FALSE)</f>
        <v>SEVROLL 05786 Porto GM 18 rączka 2,7m j.brąz</v>
      </c>
      <c r="H898" s="1">
        <v>2700</v>
      </c>
      <c r="I898" s="1" t="str">
        <f>J6</f>
        <v>j.brąz</v>
      </c>
    </row>
    <row r="899" spans="1:9" ht="15" customHeight="1" x14ac:dyDescent="0.3">
      <c r="A899" s="1">
        <v>489287</v>
      </c>
      <c r="C899" s="1" t="str">
        <f>J4</f>
        <v>srebrny</v>
      </c>
      <c r="D899" s="1">
        <v>489287</v>
      </c>
      <c r="E899" s="432" t="str">
        <f>+VLOOKUP(A899,cennik!A:G,2,FALSE)</f>
        <v>SEVROLL 05785 Porto GM 18 rączka 3m srebrny</v>
      </c>
      <c r="F899" s="432" t="str">
        <f>+VLOOKUP(A899,cennik!A:B,2,FALSE)</f>
        <v>SEVROLL 05785 Porto GM 18 rączka 3m srebrny</v>
      </c>
      <c r="H899" s="434">
        <v>3000</v>
      </c>
      <c r="I899" s="1" t="str">
        <f>J4</f>
        <v>srebrny</v>
      </c>
    </row>
    <row r="900" spans="1:9" ht="15" customHeight="1" x14ac:dyDescent="0.3">
      <c r="A900" s="1">
        <v>489288</v>
      </c>
      <c r="C900" s="1" t="str">
        <f>J6</f>
        <v>j.brąz</v>
      </c>
      <c r="D900" s="1">
        <v>489288</v>
      </c>
      <c r="E900" s="432" t="str">
        <f>+VLOOKUP(A900,cennik!A:G,2,FALSE)</f>
        <v>SEVROLL 05787 Porto GM 18 rączka 2,7m j.brąz</v>
      </c>
      <c r="F900" s="432" t="str">
        <f>+VLOOKUP(A900,cennik!A:B,2,FALSE)</f>
        <v>SEVROLL 05787 Porto GM 18 rączka 2,7m j.brąz</v>
      </c>
      <c r="H900" s="434">
        <v>3000</v>
      </c>
      <c r="I900" s="1" t="str">
        <f>J6</f>
        <v>j.brąz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2026-03-02T13:39:01Z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