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13.xml" ContentType="application/vnd.openxmlformats-officedocument.drawing+xml"/>
  <Override PartName="/xl/ctrlProps/ctrlProp21.xml" ContentType="application/vnd.ms-excel.controlproperties+xml"/>
  <Override PartName="/xl/drawings/drawing14.xml" ContentType="application/vnd.openxmlformats-officedocument.drawing+xml"/>
  <Override PartName="/xl/ctrlProps/ctrlProp22.xml" ContentType="application/vnd.ms-excel.controlproperties+xml"/>
  <Override PartName="/xl/drawings/drawing15.xml" ContentType="application/vnd.openxmlformats-officedocument.drawing+xml"/>
  <Override PartName="/xl/ctrlProps/ctrlProp23.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emostrade-my.sharepoint.com/personal/11507_demos-trade_com/Documents/Plocha/"/>
    </mc:Choice>
  </mc:AlternateContent>
  <xr:revisionPtr revIDLastSave="0" documentId="8_{EAF725C3-9AF0-485E-88B6-B4952BEE5C24}" xr6:coauthVersionLast="47" xr6:coauthVersionMax="47" xr10:uidLastSave="{00000000-0000-0000-0000-000000000000}"/>
  <workbookProtection workbookAlgorithmName="SHA-512" workbookHashValue="8b1VgnFUFZPXOHiBsx5Suw+QIyhLbH16It2aExkFSVoZ8rO1iSpiUnPLfKOUnu6MZQuECEbCYeaLRs6IyA1A4g==" workbookSaltValue="JYcRxRyA3no4jxR8FZdl+A==" workbookSpinCount="100000" lockStructure="1"/>
  <bookViews>
    <workbookView showSheetTabs="0" xWindow="28680" yWindow="-120" windowWidth="29040" windowHeight="15720" xr2:uid="{10D0625F-44A6-4DAA-8ED7-4492ECC21A7E}"/>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Ram_2_zaloha_old" sheetId="81" state="hidden" r:id="rId21"/>
    <sheet name="kombinace_posuv" sheetId="79" state="hidden" r:id="rId22"/>
    <sheet name="Posuv" sheetId="73" r:id="rId23"/>
    <sheet name="Doprava Posun" sheetId="109" state="hidden" r:id="rId24"/>
    <sheet name="Typy profilů" sheetId="21" r:id="rId25"/>
    <sheet name="_souhrn" sheetId="71" r:id="rId26"/>
    <sheet name="Barevnice" sheetId="44" r:id="rId27"/>
    <sheet name="_souhrn (2)" sheetId="99" r:id="rId28"/>
    <sheet name="_souhrn (3)" sheetId="104" r:id="rId29"/>
    <sheet name="kalkulace dopravy" sheetId="106" state="hidden" r:id="rId30"/>
    <sheet name="doprava demont" sheetId="107" state="hidden" r:id="rId31"/>
    <sheet name="POMOC SEZNAM PANTU" sheetId="29" state="hidden" r:id="rId32"/>
  </sheets>
  <definedNames>
    <definedName name="_1">'závěsy dle výklopu'!$A$75:$A$76</definedName>
    <definedName name="_2">'závěsy dle výklopu'!$B$75:$B$77</definedName>
    <definedName name="_2_strany">'závěsy dle výklopu'!$AP$2:$AP$3</definedName>
    <definedName name="_3">'závěsy dle výklopu'!$C$75</definedName>
    <definedName name="_4_strany">'závěsy dle výklopu'!$AO$2:$AO$5</definedName>
    <definedName name="_A1" localSheetId="21">kombinace_posuv!$R$4:$R$48</definedName>
    <definedName name="_A1">'závěsy dle výklopu'!$B$96:$B$111</definedName>
    <definedName name="_A2" localSheetId="21">kombinace_posuv!$T$4:$T$7</definedName>
    <definedName name="_A2">'závěsy dle výklopu'!$D$96</definedName>
    <definedName name="_A3" localSheetId="21">kombinace_posuv!$V$4:$V$43</definedName>
    <definedName name="_A3">'závěsy dle výklopu'!$F$96:$F$111</definedName>
    <definedName name="_corleone">'závěsy dle výklopu'!$A$97:$A$139</definedName>
    <definedName name="_xlnm._FilterDatabase" localSheetId="27" hidden="1">'_souhrn (2)'!$CK$1:$CL$119</definedName>
    <definedName name="_xlnm._FilterDatabase" localSheetId="9" hidden="1">kombinace_1!$ED$1:$EF$657</definedName>
    <definedName name="_xlnm._FilterDatabase" localSheetId="31" hidden="1">'POMOC SEZNAM PANTU'!$A$1:$AJ$55</definedName>
    <definedName name="_xlnm._FilterDatabase" localSheetId="4" hidden="1">'rozpad závěsů bez prázdn. řádků'!$A$1:$F$66</definedName>
    <definedName name="_kombinovane_profily" localSheetId="21">kombinace_posuv!$F$14:$F$19</definedName>
    <definedName name="_kombinovane_profily">kombinace_1!$F$18:$F$19</definedName>
    <definedName name="_N1" localSheetId="21">kombinace_posuv!$Q$4:$Q$61</definedName>
    <definedName name="_N1">'závěsy dle výklopu'!$A$96:$A$139</definedName>
    <definedName name="_N2" localSheetId="21">kombinace_posuv!$S$4:$S$19</definedName>
    <definedName name="_N2">'závěsy dle výklopu'!$C$96:$C$122</definedName>
    <definedName name="_N3" localSheetId="21">kombinace_posuv!$U$4:$U$43</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 localSheetId="21">IF(kombinace_posuv!$H$1="PRAVDA",kombinace_posuv!$G$23,IF(kombinace_posuv!$H$1="NEPRAVDA",kombinace_posuv!$G$31,0))</definedName>
    <definedName name="_obrazek">IF(kombinace_1!$H$1="PRAVDA",kombinace_1!$G$23,IF(kombinace_1!$H$1="NEPRAVDA",kombinace_1!$G$31,0))</definedName>
    <definedName name="_pocet_sprzosy" localSheetId="21">kombinace_posuv!$BY$18:$BY$27</definedName>
    <definedName name="_profily_síťka">'závěsy dle výklopu'!$A$81:$A$90</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Automatická_vzpěra" localSheetId="21">kombinace_posuv!$DH$5:$DH$10</definedName>
    <definedName name="_široký_Aventos_HF" localSheetId="21">kombinace_posuv!$CH$5</definedName>
    <definedName name="_široký_Aventos_HK_XS" localSheetId="21">kombinace_posuv!$CJ$5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Duo" localSheetId="21">kombinace_posuv!$CT$5:$CT$10</definedName>
    <definedName name="_široký_Duo_Forte" localSheetId="21">kombinace_posuv!$CR$5:$CR$10</definedName>
    <definedName name="_široký_FREEfold" localSheetId="21">kombinace_posuv!$CN$5:$CN$10</definedName>
    <definedName name="_široký_FREElight" localSheetId="21">kombinace_posuv!$CL$5:$CL$10</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K12" localSheetId="21">kombinace_posuv!$CV$5:$CV$10</definedName>
    <definedName name="_široký_Kiaro" localSheetId="21">kombinace_posuv!$DD$5:$DD$8</definedName>
    <definedName name="_široký_Kraby" localSheetId="21">kombinace_posuv!$CZ$5:$CZ$10</definedName>
    <definedName name="_široký_LiftMini" localSheetId="21">kombinace_posuv!$DL$5:$DL$8</definedName>
    <definedName name="_široký_Link" localSheetId="21">kombinace_posuv!$DF$5:$DF$8</definedName>
    <definedName name="_široký_Maxi" localSheetId="21">kombinace_posuv!$CP$5:$CP$10</definedName>
    <definedName name="_široký_Polohovací_vzpěra" localSheetId="21">kombinace_posuv!$DJ$5:$DJ$10</definedName>
    <definedName name="_široký_Spodní_K12" localSheetId="21">kombinace_posuv!$CX$5:$CX$8</definedName>
    <definedName name="_široký_Spodní_Kraby" localSheetId="21">kombinace_posuv!$DB$5:$DB$8</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umisteni_zavesu" localSheetId="21">kombinace_posuv!$BY$3:$BY$6</definedName>
    <definedName name="_umisteni_zavesu_vyklop" localSheetId="21">kombinace_posuv!$BY$5:$BY$6</definedName>
    <definedName name="_Úzký_Automatická_vzpěra" localSheetId="21">kombinace_posuv!$DG$5:$DG$12</definedName>
    <definedName name="_Úzký_Aventos_HK_XS" localSheetId="21">kombinace_posuv!$CI$5</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Duo" localSheetId="21">kombinace_posuv!$CS$5:$CS$12</definedName>
    <definedName name="_Úzký_Duo_Forte" localSheetId="21">kombinace_posuv!$CQ$5:$CQ$12</definedName>
    <definedName name="_Úzký_FREEfold" localSheetId="21">kombinace_posuv!$CM$5:$CM$12</definedName>
    <definedName name="_Úzký_FREElight" localSheetId="21">kombinace_posuv!$CK$5:$CK$12</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K12" localSheetId="21">kombinace_posuv!$CU$5:$CU$12</definedName>
    <definedName name="_Úzký_Kiaro" localSheetId="21">kombinace_posuv!$DC$5:$DC$7</definedName>
    <definedName name="_Úzký_Kraby" localSheetId="21">kombinace_posuv!$CY$5:$CY$12</definedName>
    <definedName name="_Úzký_LiftMini" localSheetId="21">kombinace_posuv!$DK$5:$DK$7</definedName>
    <definedName name="_Úzký_Link" localSheetId="21">kombinace_posuv!$DE$5:$DE$7</definedName>
    <definedName name="_Úzký_Maxi" localSheetId="21">kombinace_posuv!$CO$5:$CO$12</definedName>
    <definedName name="_Úzký_Polohovací_vzpěra" localSheetId="21">kombinace_posuv!$DI$5:$DI$12</definedName>
    <definedName name="_Úzký_Spodní_K12" localSheetId="21">kombinace_posuv!$CW$5:$CW$7</definedName>
    <definedName name="_Úzký_Spodní_Kraby" localSheetId="21">kombinace_posuv!$DA$5:$DA$7</definedName>
    <definedName name="_úzký_STRONGHINGESS3_naložený">'rozpad závěsů bez prázdn. řádků'!$G$22:$G$23</definedName>
    <definedName name="_úzký_STRONGHINGESS5_naložený">'rozpad závěsů bez prázdn. řádků'!$G$21:$I$21</definedName>
    <definedName name="_vše_profily" localSheetId="21">kombinace_posuv!$A$3:$A$47</definedName>
    <definedName name="_vše_profily">kombinace_1!$A$3:$A$58</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 localSheetId="21">kombinace_posuv!$AB$4:$AB$9</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 localSheetId="21">kombinace_posuv!$AB$43:$AB$45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 localSheetId="21">kombinace_posuv!$AB$29:$AB$34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 localSheetId="21">kombinace_posuv!$AB$15:$AB$23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 localSheetId="21">kombinace_posuv!$AB$40:$AB$41</definedName>
    <definedName name="_vyklopy_stronglift">kombinace_1!$AB$40:$AB$41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 localSheetId="21">kombinace_posuv!$AZ$10:$AZ$14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 localSheetId="21">kombinace_posuv!$AZ$4:$AZ$8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 localSheetId="21">kombinace_posuv!$AZ$16:$AZ$20</definedName>
    <definedName name="_zavesy_stronghingesS5">kombinace_1!$AZ$16:$AZ$20</definedName>
    <definedName name="_znacka_vyklopy" localSheetId="21">kombinace_posuv!$BR$3:$BR$6</definedName>
    <definedName name="_znacka_vyklopy">'závěsy dle výklopu'!$BR$3:$BR$7</definedName>
    <definedName name="_znacka_zavesy" localSheetId="21">kombinace_posuv!$BQ$3:$BQ$5</definedName>
    <definedName name="_znacka_zavesy">'závěsy dle výklopu'!$BQ$3:$BQ$7</definedName>
    <definedName name="_znacka_zavesy_proROMA">kombinace_1!$BQ$11</definedName>
    <definedName name="_xlnm.Print_Area" localSheetId="25">_souhrn!$A$1:$AP$173</definedName>
    <definedName name="_xlnm.Print_Area" localSheetId="27">'_souhrn (2)'!$A$4:$AR$224</definedName>
    <definedName name="_xlnm.Print_Area" localSheetId="28">'_souhrn (3)'!$A$1:$AQ$115,'_souhrn (3)'!$A$117:$AQ$151,'_souhrn (3)'!$A$153:$AQ$187,'_souhrn (3)'!$A$189:$AQ$223</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100" l="1"/>
  <c r="B671" i="53"/>
  <c r="P80" i="109"/>
  <c r="P81" i="109"/>
  <c r="Q82" i="109"/>
  <c r="Q81" i="109"/>
  <c r="Q80" i="109"/>
  <c r="P82" i="109"/>
  <c r="O82" i="109"/>
  <c r="O81" i="109"/>
  <c r="O80" i="109"/>
  <c r="AE28" i="109"/>
  <c r="AE27" i="109"/>
  <c r="AE26" i="109"/>
  <c r="AD28" i="109" l="1"/>
  <c r="AD27" i="109"/>
  <c r="AD26" i="109"/>
  <c r="K28" i="109"/>
  <c r="K27" i="109"/>
  <c r="K26" i="109"/>
  <c r="H28" i="109"/>
  <c r="G28" i="109"/>
  <c r="H27" i="109"/>
  <c r="G27" i="109"/>
  <c r="H26" i="109"/>
  <c r="G26" i="109"/>
  <c r="AB18" i="109"/>
  <c r="K29" i="109" l="1"/>
  <c r="L82" i="109"/>
  <c r="K82" i="109" s="1"/>
  <c r="L80" i="109"/>
  <c r="K80" i="109" s="1"/>
  <c r="AG28" i="109"/>
  <c r="AG27" i="109"/>
  <c r="J27" i="109"/>
  <c r="AG26" i="109"/>
  <c r="T19" i="109"/>
  <c r="I27" i="109" l="1"/>
  <c r="P27" i="109" s="1"/>
  <c r="AE29" i="109"/>
  <c r="I28" i="109"/>
  <c r="O78" i="109"/>
  <c r="O77" i="109" s="1"/>
  <c r="P77" i="109" s="1"/>
  <c r="Q27" i="109"/>
  <c r="I26" i="109"/>
  <c r="L81" i="109"/>
  <c r="J81" i="109" s="1"/>
  <c r="AG29" i="109"/>
  <c r="G82" i="109"/>
  <c r="H82" i="109"/>
  <c r="J26" i="109"/>
  <c r="L26" i="109" s="1"/>
  <c r="L27" i="109"/>
  <c r="G80" i="109"/>
  <c r="I82" i="109"/>
  <c r="H80" i="109"/>
  <c r="J82" i="109"/>
  <c r="N27" i="109"/>
  <c r="J28" i="109"/>
  <c r="L28" i="109" s="1"/>
  <c r="I80" i="109"/>
  <c r="M27" i="109"/>
  <c r="J80" i="109"/>
  <c r="O27" i="109"/>
  <c r="M2" i="107"/>
  <c r="M33" i="106"/>
  <c r="M16" i="100"/>
  <c r="X21" i="107"/>
  <c r="W21" i="107"/>
  <c r="X20" i="107"/>
  <c r="W20" i="107"/>
  <c r="X19" i="107"/>
  <c r="W19" i="107"/>
  <c r="X18" i="107"/>
  <c r="W18" i="107"/>
  <c r="X17" i="107"/>
  <c r="W17" i="107"/>
  <c r="X16" i="107"/>
  <c r="W16" i="107"/>
  <c r="V21" i="107"/>
  <c r="V20" i="107"/>
  <c r="V19" i="107"/>
  <c r="V18" i="107"/>
  <c r="V17" i="107"/>
  <c r="V16" i="107"/>
  <c r="Q7" i="106"/>
  <c r="P7" i="106"/>
  <c r="S5" i="106"/>
  <c r="S6" i="106"/>
  <c r="S7" i="106"/>
  <c r="Q6" i="106"/>
  <c r="Q5" i="106"/>
  <c r="Q4" i="106"/>
  <c r="Q3" i="106"/>
  <c r="Q2" i="106"/>
  <c r="P6" i="106"/>
  <c r="P5" i="106"/>
  <c r="P4" i="106"/>
  <c r="S4" i="106" s="1"/>
  <c r="P3" i="106"/>
  <c r="S3" i="106" s="1"/>
  <c r="P2" i="106"/>
  <c r="S2" i="106" s="1"/>
  <c r="H81" i="109" l="1"/>
  <c r="K81" i="109"/>
  <c r="G81" i="109"/>
  <c r="I81" i="109"/>
  <c r="R27" i="109"/>
  <c r="Y27" i="109" s="1"/>
  <c r="AH29" i="109"/>
  <c r="M82" i="109"/>
  <c r="Q28" i="109"/>
  <c r="N28" i="109"/>
  <c r="P28" i="109"/>
  <c r="O28" i="109"/>
  <c r="M28" i="109"/>
  <c r="M80" i="109"/>
  <c r="O26" i="109"/>
  <c r="N26" i="109"/>
  <c r="P26" i="109"/>
  <c r="M26" i="109"/>
  <c r="Q26" i="109"/>
  <c r="S8" i="106"/>
  <c r="T8" i="106"/>
  <c r="M81" i="109" l="1"/>
  <c r="N81" i="109" s="1"/>
  <c r="J29" i="109"/>
  <c r="W27" i="109"/>
  <c r="U81" i="109"/>
  <c r="V81" i="109"/>
  <c r="T81" i="109"/>
  <c r="W81" i="109"/>
  <c r="S81" i="109"/>
  <c r="U27" i="109"/>
  <c r="X27" i="109"/>
  <c r="R26" i="109"/>
  <c r="S26" i="109" s="1"/>
  <c r="S27" i="109"/>
  <c r="V27" i="109"/>
  <c r="Z27" i="109"/>
  <c r="R28" i="109"/>
  <c r="N80" i="109"/>
  <c r="W80" i="109"/>
  <c r="U80" i="109"/>
  <c r="V80" i="109"/>
  <c r="T80" i="109"/>
  <c r="S80" i="109"/>
  <c r="N82" i="109"/>
  <c r="U82" i="109"/>
  <c r="W82" i="109"/>
  <c r="S82" i="109"/>
  <c r="T82" i="109"/>
  <c r="V82" i="109"/>
  <c r="U8" i="106"/>
  <c r="S18" i="107"/>
  <c r="S21" i="107"/>
  <c r="S19" i="107"/>
  <c r="N19" i="107" s="1"/>
  <c r="P45" i="106"/>
  <c r="Q45" i="106"/>
  <c r="R45" i="106"/>
  <c r="P46" i="106"/>
  <c r="Q46" i="106"/>
  <c r="R46" i="106"/>
  <c r="Y43" i="106"/>
  <c r="X43" i="106"/>
  <c r="W43" i="106"/>
  <c r="E29" i="80"/>
  <c r="Y26" i="109" l="1"/>
  <c r="Z26" i="109"/>
  <c r="W26" i="109"/>
  <c r="U26" i="109"/>
  <c r="X26" i="109"/>
  <c r="V26" i="109"/>
  <c r="W79" i="109"/>
  <c r="W83" i="109" s="1"/>
  <c r="W84" i="109" s="1"/>
  <c r="S28" i="109"/>
  <c r="S29" i="109" s="1"/>
  <c r="Z28" i="109"/>
  <c r="Z56" i="109" s="1"/>
  <c r="Y28" i="109"/>
  <c r="Y39" i="109" s="1"/>
  <c r="X28" i="109"/>
  <c r="V28" i="109"/>
  <c r="U28" i="109"/>
  <c r="W28" i="109"/>
  <c r="T79" i="109"/>
  <c r="S79" i="109"/>
  <c r="S90" i="109" s="1"/>
  <c r="V79" i="109"/>
  <c r="U79" i="109"/>
  <c r="U86" i="109" s="1"/>
  <c r="R29" i="109"/>
  <c r="S16" i="107"/>
  <c r="R16" i="107" s="1"/>
  <c r="Q21" i="107"/>
  <c r="R21" i="107"/>
  <c r="N21" i="107"/>
  <c r="O21" i="107"/>
  <c r="P21" i="107"/>
  <c r="V14" i="107"/>
  <c r="V13" i="107" s="1"/>
  <c r="W13" i="107" s="1"/>
  <c r="R19" i="107"/>
  <c r="O19" i="107"/>
  <c r="Q19" i="107"/>
  <c r="P19" i="107"/>
  <c r="N18" i="107"/>
  <c r="Q18" i="107"/>
  <c r="O18" i="107"/>
  <c r="P18" i="107"/>
  <c r="R18" i="107"/>
  <c r="S17" i="107"/>
  <c r="S20" i="107"/>
  <c r="AU10" i="71"/>
  <c r="AU9" i="71"/>
  <c r="X39" i="109" l="1"/>
  <c r="X47" i="109" s="1"/>
  <c r="V31" i="109"/>
  <c r="V32" i="109"/>
  <c r="W31" i="109"/>
  <c r="U31" i="109"/>
  <c r="Z39" i="109"/>
  <c r="Z40" i="109" s="1"/>
  <c r="Z46" i="109" s="1"/>
  <c r="V29" i="109"/>
  <c r="Y29" i="109"/>
  <c r="X56" i="109"/>
  <c r="X59" i="109" s="1"/>
  <c r="Y56" i="109"/>
  <c r="Y59" i="109" s="1"/>
  <c r="U32" i="109"/>
  <c r="U33" i="109" s="1"/>
  <c r="T88" i="109"/>
  <c r="Z59" i="109"/>
  <c r="V83" i="109"/>
  <c r="W85" i="109" s="1"/>
  <c r="W86" i="109" s="1"/>
  <c r="V56" i="109"/>
  <c r="O16" i="107"/>
  <c r="P16" i="107"/>
  <c r="T19" i="107"/>
  <c r="N16" i="107"/>
  <c r="Q16" i="107"/>
  <c r="P17" i="107"/>
  <c r="N17" i="107"/>
  <c r="O17" i="107"/>
  <c r="Q17" i="107"/>
  <c r="R17" i="107"/>
  <c r="N20" i="107"/>
  <c r="O20" i="107"/>
  <c r="Q20" i="107"/>
  <c r="P20" i="107"/>
  <c r="R20" i="107"/>
  <c r="U19" i="107"/>
  <c r="AB19" i="107"/>
  <c r="Z19" i="107"/>
  <c r="AA19" i="107"/>
  <c r="AC19" i="107"/>
  <c r="AD19" i="107"/>
  <c r="T21" i="107"/>
  <c r="T18" i="107"/>
  <c r="V38" i="109" l="1"/>
  <c r="W32" i="109"/>
  <c r="W33" i="109" s="1"/>
  <c r="V85" i="109"/>
  <c r="V92" i="109" s="1"/>
  <c r="Z60" i="109"/>
  <c r="Z47" i="109"/>
  <c r="Z48" i="109" s="1"/>
  <c r="Z54" i="109" s="1"/>
  <c r="Y46" i="109"/>
  <c r="Y49" i="109" s="1"/>
  <c r="Y50" i="109" s="1"/>
  <c r="W87" i="109"/>
  <c r="W88" i="109" s="1"/>
  <c r="U87" i="109"/>
  <c r="T16" i="107"/>
  <c r="Z16" i="107" s="1"/>
  <c r="T17" i="107"/>
  <c r="U17" i="107" s="1"/>
  <c r="T20" i="107"/>
  <c r="U20" i="107" s="1"/>
  <c r="U18" i="107"/>
  <c r="AB18" i="107"/>
  <c r="AD18" i="107"/>
  <c r="AC18" i="107"/>
  <c r="Z18" i="107"/>
  <c r="AA18" i="107"/>
  <c r="U21" i="107"/>
  <c r="AD21" i="107"/>
  <c r="Z21" i="107"/>
  <c r="AB21" i="107"/>
  <c r="AA21" i="107"/>
  <c r="AC21" i="107"/>
  <c r="N33" i="106"/>
  <c r="Y47" i="106"/>
  <c r="X47" i="106"/>
  <c r="S47" i="106" s="1"/>
  <c r="W47" i="106"/>
  <c r="Y46" i="106"/>
  <c r="X46" i="106"/>
  <c r="W46" i="106"/>
  <c r="Y45" i="106"/>
  <c r="X45" i="106"/>
  <c r="S45" i="106" s="1"/>
  <c r="W45" i="106"/>
  <c r="Y44" i="106"/>
  <c r="X44" i="106"/>
  <c r="W44" i="106"/>
  <c r="Y42" i="106"/>
  <c r="X42" i="106"/>
  <c r="W42" i="106"/>
  <c r="AB53" i="106"/>
  <c r="AB51" i="106"/>
  <c r="AB59" i="106" s="1"/>
  <c r="AB49" i="106"/>
  <c r="AB54" i="106" s="1"/>
  <c r="T47" i="106"/>
  <c r="T45" i="106"/>
  <c r="D1" i="53"/>
  <c r="D6" i="53" s="1"/>
  <c r="V86" i="109" l="1"/>
  <c r="V93" i="109" s="1"/>
  <c r="W34" i="109"/>
  <c r="U34" i="109" s="1"/>
  <c r="U39" i="109" s="1"/>
  <c r="U40" i="109" s="1"/>
  <c r="U46" i="109" s="1"/>
  <c r="AA16" i="107"/>
  <c r="U16" i="107"/>
  <c r="AD16" i="107"/>
  <c r="AC16" i="107"/>
  <c r="AB16" i="107"/>
  <c r="W89" i="109"/>
  <c r="W90" i="109" s="1"/>
  <c r="T89" i="109"/>
  <c r="T95" i="109" s="1"/>
  <c r="X48" i="109"/>
  <c r="X49" i="109" s="1"/>
  <c r="Y51" i="109" s="1"/>
  <c r="Y54" i="109" s="1"/>
  <c r="U92" i="109"/>
  <c r="V94" i="109" s="1"/>
  <c r="V95" i="109" s="1"/>
  <c r="U88" i="109"/>
  <c r="W40" i="106"/>
  <c r="AD17" i="107"/>
  <c r="AB17" i="107"/>
  <c r="AC17" i="107"/>
  <c r="AA17" i="107"/>
  <c r="Z17" i="107"/>
  <c r="AD20" i="107"/>
  <c r="AB20" i="107"/>
  <c r="AA20" i="107"/>
  <c r="Z20" i="107"/>
  <c r="AC20" i="107"/>
  <c r="AD15" i="107"/>
  <c r="AD22" i="107" s="1"/>
  <c r="Q47" i="106"/>
  <c r="R47" i="106"/>
  <c r="P47" i="106"/>
  <c r="N47" i="106"/>
  <c r="O45" i="106"/>
  <c r="T44" i="106"/>
  <c r="T42" i="106"/>
  <c r="S44" i="106"/>
  <c r="T43" i="106"/>
  <c r="S42" i="106"/>
  <c r="O47" i="106"/>
  <c r="AE47" i="106" s="1"/>
  <c r="S46" i="106"/>
  <c r="T46" i="106"/>
  <c r="S43" i="106"/>
  <c r="N45" i="106"/>
  <c r="AD45" i="106" s="1"/>
  <c r="C7" i="53"/>
  <c r="C43" i="53"/>
  <c r="C31" i="53"/>
  <c r="C25" i="53"/>
  <c r="C19" i="53"/>
  <c r="C13" i="53"/>
  <c r="C69" i="53"/>
  <c r="D74" i="53"/>
  <c r="C120" i="53"/>
  <c r="C37" i="53"/>
  <c r="C96" i="53"/>
  <c r="C56" i="53"/>
  <c r="C49" i="53"/>
  <c r="C108" i="53"/>
  <c r="C144" i="53"/>
  <c r="D48" i="53"/>
  <c r="D36" i="53"/>
  <c r="D18" i="53"/>
  <c r="C107" i="53"/>
  <c r="C55" i="53"/>
  <c r="C30" i="53"/>
  <c r="C12" i="53"/>
  <c r="C130" i="53"/>
  <c r="D54" i="53"/>
  <c r="D41" i="53"/>
  <c r="D17" i="53"/>
  <c r="C70" i="53"/>
  <c r="C131" i="53"/>
  <c r="C47" i="53"/>
  <c r="C35" i="53"/>
  <c r="C11" i="53"/>
  <c r="C160" i="53"/>
  <c r="D53" i="53"/>
  <c r="D46" i="53"/>
  <c r="D40" i="53"/>
  <c r="D34" i="53"/>
  <c r="D28" i="53"/>
  <c r="D22" i="53"/>
  <c r="D16" i="53"/>
  <c r="D10" i="53"/>
  <c r="C71" i="53"/>
  <c r="C94" i="53"/>
  <c r="C115" i="53"/>
  <c r="C103" i="53"/>
  <c r="C135" i="53"/>
  <c r="C161" i="53"/>
  <c r="C6" i="53"/>
  <c r="D24" i="53"/>
  <c r="C119" i="53"/>
  <c r="C36" i="53"/>
  <c r="C97" i="53"/>
  <c r="D60" i="53"/>
  <c r="D23" i="53"/>
  <c r="C117" i="53"/>
  <c r="C23" i="53"/>
  <c r="C116" i="53"/>
  <c r="C46" i="53"/>
  <c r="C16" i="53"/>
  <c r="C93" i="53"/>
  <c r="C136" i="53"/>
  <c r="C162" i="53"/>
  <c r="D42" i="53"/>
  <c r="C145" i="53"/>
  <c r="C42" i="53"/>
  <c r="C18" i="53"/>
  <c r="C118" i="53"/>
  <c r="D35" i="53"/>
  <c r="D11" i="53"/>
  <c r="C105" i="53"/>
  <c r="C54" i="53"/>
  <c r="C29" i="53"/>
  <c r="D70" i="53"/>
  <c r="C104" i="53"/>
  <c r="C53" i="53"/>
  <c r="C28" i="53"/>
  <c r="C10" i="53"/>
  <c r="C102" i="53"/>
  <c r="D52" i="53"/>
  <c r="D45" i="53"/>
  <c r="D39" i="53"/>
  <c r="D33" i="53"/>
  <c r="D27" i="53"/>
  <c r="D21" i="53"/>
  <c r="D15" i="53"/>
  <c r="D9" i="53"/>
  <c r="C72" i="53"/>
  <c r="C92" i="53"/>
  <c r="C113" i="53"/>
  <c r="C101" i="53"/>
  <c r="C137" i="53"/>
  <c r="C163" i="53"/>
  <c r="C91" i="53"/>
  <c r="C39" i="53"/>
  <c r="C154" i="53"/>
  <c r="C15" i="53"/>
  <c r="C128" i="53"/>
  <c r="D55" i="53"/>
  <c r="D30" i="53"/>
  <c r="D12" i="53"/>
  <c r="C129" i="53"/>
  <c r="C48" i="53"/>
  <c r="C24" i="53"/>
  <c r="D69" i="53"/>
  <c r="C106" i="53"/>
  <c r="D47" i="53"/>
  <c r="D29" i="53"/>
  <c r="C155" i="53"/>
  <c r="C60" i="53"/>
  <c r="C41" i="53"/>
  <c r="C17" i="53"/>
  <c r="C95" i="53"/>
  <c r="C133" i="53"/>
  <c r="D59" i="53"/>
  <c r="C59" i="53"/>
  <c r="C40" i="53"/>
  <c r="C34" i="53"/>
  <c r="C22" i="53"/>
  <c r="D71" i="53"/>
  <c r="C114" i="53"/>
  <c r="D58" i="53"/>
  <c r="C58" i="53"/>
  <c r="C52" i="53"/>
  <c r="C45" i="53"/>
  <c r="C33" i="53"/>
  <c r="C27" i="53"/>
  <c r="C21" i="53"/>
  <c r="C9" i="53"/>
  <c r="D72" i="53"/>
  <c r="C99" i="53"/>
  <c r="C112" i="53"/>
  <c r="C100" i="53"/>
  <c r="C138" i="53"/>
  <c r="C164" i="53"/>
  <c r="D57" i="53"/>
  <c r="D50" i="53"/>
  <c r="D44" i="53"/>
  <c r="D38" i="53"/>
  <c r="D32" i="53"/>
  <c r="D26" i="53"/>
  <c r="D20" i="53"/>
  <c r="D14" i="53"/>
  <c r="D8" i="53"/>
  <c r="C73" i="53"/>
  <c r="C123" i="53"/>
  <c r="C111" i="53"/>
  <c r="C125" i="53"/>
  <c r="C139" i="53"/>
  <c r="C165" i="53"/>
  <c r="C57" i="53"/>
  <c r="C50" i="53"/>
  <c r="C44" i="53"/>
  <c r="C38" i="53"/>
  <c r="C32" i="53"/>
  <c r="C26" i="53"/>
  <c r="C20" i="53"/>
  <c r="C14" i="53"/>
  <c r="C8" i="53"/>
  <c r="D73" i="53"/>
  <c r="C122" i="53"/>
  <c r="C110" i="53"/>
  <c r="C126" i="53"/>
  <c r="C140" i="53"/>
  <c r="C166" i="53"/>
  <c r="D56" i="53"/>
  <c r="D49" i="53"/>
  <c r="D43" i="53"/>
  <c r="D37" i="53"/>
  <c r="D31" i="53"/>
  <c r="D25" i="53"/>
  <c r="D19" i="53"/>
  <c r="D13" i="53"/>
  <c r="D7" i="53"/>
  <c r="C74" i="53"/>
  <c r="C121" i="53"/>
  <c r="C109" i="53"/>
  <c r="C127" i="53"/>
  <c r="C141" i="53"/>
  <c r="C167" i="53"/>
  <c r="AC201" i="99"/>
  <c r="AC165" i="99"/>
  <c r="AC129" i="99"/>
  <c r="AC93" i="99"/>
  <c r="AC57" i="99"/>
  <c r="AC21" i="99"/>
  <c r="B695" i="53"/>
  <c r="C17" i="96"/>
  <c r="V2" i="97"/>
  <c r="X54" i="95" a="1"/>
  <c r="T54" i="95" a="1"/>
  <c r="T47" i="95"/>
  <c r="AJ40" i="95"/>
  <c r="AJ36" i="95" a="1"/>
  <c r="AJ39" i="95" s="1"/>
  <c r="AU30" i="95"/>
  <c r="AA29" i="95"/>
  <c r="AV17" i="95"/>
  <c r="AT11" i="95"/>
  <c r="G7" i="95"/>
  <c r="X54" i="94" a="1"/>
  <c r="T54" i="94" a="1"/>
  <c r="T47" i="94"/>
  <c r="AJ40" i="94"/>
  <c r="AJ38" i="94"/>
  <c r="AJ36" i="94"/>
  <c r="AJ36" i="94" a="1"/>
  <c r="AJ39" i="94" s="1"/>
  <c r="AU30" i="94"/>
  <c r="AA29" i="94"/>
  <c r="AV17" i="94"/>
  <c r="AT11" i="94"/>
  <c r="X54" i="93" a="1"/>
  <c r="T54" i="93" a="1"/>
  <c r="T47" i="93"/>
  <c r="AJ40" i="93"/>
  <c r="AJ38" i="93"/>
  <c r="AJ37" i="93"/>
  <c r="AJ36" i="93" a="1"/>
  <c r="AJ39" i="93" s="1"/>
  <c r="AU30" i="93"/>
  <c r="AA29" i="93"/>
  <c r="AV17" i="93"/>
  <c r="AT11" i="93"/>
  <c r="G7" i="93"/>
  <c r="X54" i="92" a="1"/>
  <c r="T54" i="92" a="1"/>
  <c r="T47" i="92"/>
  <c r="AJ40" i="92"/>
  <c r="AJ38" i="92"/>
  <c r="AJ37" i="92"/>
  <c r="AJ36" i="92" a="1"/>
  <c r="AJ39" i="92" s="1"/>
  <c r="AU30" i="92"/>
  <c r="AA29" i="92"/>
  <c r="AV17" i="92"/>
  <c r="AT11" i="92"/>
  <c r="G7" i="92"/>
  <c r="X54" i="91" a="1"/>
  <c r="T54" i="91" a="1"/>
  <c r="T47" i="91"/>
  <c r="AJ40" i="91"/>
  <c r="AJ38" i="91"/>
  <c r="AJ37" i="91"/>
  <c r="AJ36" i="91"/>
  <c r="AJ36" i="91" a="1"/>
  <c r="AJ39" i="91" s="1"/>
  <c r="AU30" i="91"/>
  <c r="AA29" i="91"/>
  <c r="AV17" i="91"/>
  <c r="AT11" i="91"/>
  <c r="G7" i="91"/>
  <c r="AT43" i="95"/>
  <c r="AE41" i="95"/>
  <c r="U41" i="95"/>
  <c r="AW24" i="95"/>
  <c r="AS24" i="95"/>
  <c r="AV16" i="95"/>
  <c r="AU16" i="95"/>
  <c r="AW15" i="95"/>
  <c r="AV15" i="95"/>
  <c r="AU15" i="95"/>
  <c r="AT15" i="95"/>
  <c r="S13" i="95"/>
  <c r="BI3" i="95"/>
  <c r="BD3" i="95"/>
  <c r="AT43" i="94"/>
  <c r="AE41" i="94"/>
  <c r="U41" i="94"/>
  <c r="AW24" i="94"/>
  <c r="AS24" i="94"/>
  <c r="AV16" i="94"/>
  <c r="AU16" i="94"/>
  <c r="AW16" i="94" s="1"/>
  <c r="AW15" i="94"/>
  <c r="AV15" i="94"/>
  <c r="AU15" i="94"/>
  <c r="AT15" i="94"/>
  <c r="S13" i="94"/>
  <c r="BI3" i="94"/>
  <c r="BD3" i="94"/>
  <c r="AT43" i="93"/>
  <c r="AE41" i="93"/>
  <c r="U41" i="93"/>
  <c r="AW24" i="93"/>
  <c r="AS24" i="93"/>
  <c r="AV16" i="93"/>
  <c r="AU16" i="93"/>
  <c r="AW16" i="93" s="1"/>
  <c r="AW15" i="93"/>
  <c r="AV15" i="93"/>
  <c r="AU15" i="93"/>
  <c r="AT15" i="93"/>
  <c r="S13" i="93"/>
  <c r="BI3" i="93"/>
  <c r="BD3" i="93"/>
  <c r="AT43" i="92"/>
  <c r="AE41" i="92"/>
  <c r="U41" i="92"/>
  <c r="AW24" i="92"/>
  <c r="AS24" i="92"/>
  <c r="AV16" i="92"/>
  <c r="AU16" i="92"/>
  <c r="AW15" i="92"/>
  <c r="AV15" i="92"/>
  <c r="AU15" i="92"/>
  <c r="AT15" i="92"/>
  <c r="S13" i="92"/>
  <c r="BI3" i="92"/>
  <c r="BD3" i="92"/>
  <c r="AT43" i="91"/>
  <c r="AE41" i="91"/>
  <c r="U41" i="91"/>
  <c r="AW24" i="91"/>
  <c r="AS24" i="91"/>
  <c r="AV16" i="91"/>
  <c r="AU16" i="91"/>
  <c r="AW15" i="91"/>
  <c r="AV15" i="91"/>
  <c r="AU15" i="91"/>
  <c r="AT15" i="91"/>
  <c r="BI3" i="91"/>
  <c r="BD3" i="91"/>
  <c r="AC209" i="99"/>
  <c r="AC173" i="99"/>
  <c r="AC137" i="99"/>
  <c r="AC101" i="99"/>
  <c r="AC29" i="99"/>
  <c r="AC65" i="99"/>
  <c r="AC206" i="99"/>
  <c r="AC170" i="99"/>
  <c r="AC134" i="99"/>
  <c r="AC98" i="99"/>
  <c r="AC62" i="99"/>
  <c r="AC26" i="99"/>
  <c r="AC198" i="99"/>
  <c r="AJ198" i="99" s="1"/>
  <c r="AC162" i="99"/>
  <c r="AJ162" i="99" s="1"/>
  <c r="AC126" i="99"/>
  <c r="AJ126" i="99" s="1"/>
  <c r="AC90" i="99"/>
  <c r="AJ90" i="99" s="1"/>
  <c r="AC54" i="99"/>
  <c r="AJ54" i="99" s="1"/>
  <c r="AC18" i="99"/>
  <c r="AJ18" i="99" s="1"/>
  <c r="AC191" i="99"/>
  <c r="AC155" i="99"/>
  <c r="AC119" i="99"/>
  <c r="AC83" i="99"/>
  <c r="AC47" i="99"/>
  <c r="AC11" i="99"/>
  <c r="AJ199" i="99"/>
  <c r="AJ163" i="99"/>
  <c r="AJ127" i="99"/>
  <c r="AK91" i="99"/>
  <c r="AJ55" i="99"/>
  <c r="AJ19" i="99"/>
  <c r="AB199" i="99"/>
  <c r="AB163" i="99"/>
  <c r="AB127" i="99"/>
  <c r="AB91" i="99"/>
  <c r="AB55" i="99"/>
  <c r="AB19" i="99"/>
  <c r="AC197" i="99"/>
  <c r="AC161" i="99"/>
  <c r="AC125" i="99"/>
  <c r="AC89" i="99"/>
  <c r="AC53" i="99"/>
  <c r="AC17" i="99"/>
  <c r="AA29" i="32"/>
  <c r="U94" i="109" l="1"/>
  <c r="U99" i="109" s="1"/>
  <c r="U100" i="109" s="1"/>
  <c r="V39" i="109"/>
  <c r="V40" i="109" s="1"/>
  <c r="V46" i="109" s="1"/>
  <c r="W35" i="109"/>
  <c r="W37" i="109" s="1"/>
  <c r="Z15" i="107"/>
  <c r="Z29" i="107" s="1"/>
  <c r="AA15" i="107"/>
  <c r="AA27" i="107" s="1"/>
  <c r="AC15" i="107"/>
  <c r="AC22" i="107" s="1"/>
  <c r="AC24" i="107" s="1"/>
  <c r="AB15" i="107"/>
  <c r="AB25" i="107" s="1"/>
  <c r="V96" i="109"/>
  <c r="V97" i="109" s="1"/>
  <c r="T96" i="109"/>
  <c r="T99" i="109" s="1"/>
  <c r="U101" i="109" s="1"/>
  <c r="U102" i="109" s="1"/>
  <c r="X51" i="109"/>
  <c r="X53" i="109" s="1"/>
  <c r="X54" i="109" s="1"/>
  <c r="Z55" i="109" s="1"/>
  <c r="S91" i="109"/>
  <c r="W91" i="109"/>
  <c r="W107" i="109" s="1"/>
  <c r="W108" i="109" s="1"/>
  <c r="AD23" i="107"/>
  <c r="P44" i="106"/>
  <c r="R44" i="106"/>
  <c r="Q44" i="106"/>
  <c r="O42" i="106"/>
  <c r="Q43" i="106"/>
  <c r="P43" i="106"/>
  <c r="R43" i="106"/>
  <c r="AW16" i="95"/>
  <c r="U47" i="106"/>
  <c r="V47" i="106" s="1"/>
  <c r="AD47" i="106"/>
  <c r="AC47" i="106"/>
  <c r="AA47" i="106"/>
  <c r="P42" i="106"/>
  <c r="Q42" i="106"/>
  <c r="R42" i="106"/>
  <c r="AA45" i="106"/>
  <c r="AF47" i="106"/>
  <c r="AC45" i="106"/>
  <c r="AF45" i="106"/>
  <c r="AE45" i="106"/>
  <c r="N42" i="106"/>
  <c r="N44" i="106"/>
  <c r="O44" i="106"/>
  <c r="Z36" i="106"/>
  <c r="AB58" i="106" s="1"/>
  <c r="AW16" i="92"/>
  <c r="AW16" i="91"/>
  <c r="N43" i="106"/>
  <c r="O43" i="106"/>
  <c r="W39" i="106"/>
  <c r="X39" i="106" s="1"/>
  <c r="O46" i="106"/>
  <c r="N46" i="106"/>
  <c r="U45" i="106"/>
  <c r="V45" i="106" s="1"/>
  <c r="AJ36" i="95"/>
  <c r="AJ37" i="95"/>
  <c r="AJ38" i="95"/>
  <c r="AJ37" i="94"/>
  <c r="AJ36" i="93"/>
  <c r="AJ36" i="92"/>
  <c r="Z37" i="109" l="1"/>
  <c r="Z62" i="109"/>
  <c r="S97" i="109"/>
  <c r="V98" i="109" s="1"/>
  <c r="V107" i="109" s="1"/>
  <c r="V108" i="109" s="1"/>
  <c r="T101" i="109"/>
  <c r="T104" i="109" s="1"/>
  <c r="T105" i="109" s="1"/>
  <c r="Z57" i="109"/>
  <c r="S98" i="109"/>
  <c r="S102" i="109" s="1"/>
  <c r="U103" i="109" s="1"/>
  <c r="U107" i="109" s="1"/>
  <c r="U108" i="109" s="1"/>
  <c r="AC25" i="107"/>
  <c r="AC32" i="107" s="1"/>
  <c r="U44" i="106"/>
  <c r="V44" i="106" s="1"/>
  <c r="AD24" i="107"/>
  <c r="AD25" i="107" s="1"/>
  <c r="AB26" i="107" s="1"/>
  <c r="AC31" i="107"/>
  <c r="AB42" i="106"/>
  <c r="AF46" i="106"/>
  <c r="AC44" i="106"/>
  <c r="AD44" i="106"/>
  <c r="AE44" i="106"/>
  <c r="AF44" i="106"/>
  <c r="AA46" i="106"/>
  <c r="AC46" i="106"/>
  <c r="AD46" i="106"/>
  <c r="AE46" i="106"/>
  <c r="AA44" i="106"/>
  <c r="U42" i="106"/>
  <c r="AD42" i="106"/>
  <c r="AE42" i="106"/>
  <c r="AF42" i="106"/>
  <c r="AA42" i="106"/>
  <c r="AC42" i="106"/>
  <c r="AF43" i="106"/>
  <c r="AE43" i="106"/>
  <c r="AD43" i="106"/>
  <c r="AC43" i="106"/>
  <c r="AA43" i="106"/>
  <c r="U43" i="106"/>
  <c r="V43" i="106" s="1"/>
  <c r="U46" i="106"/>
  <c r="V46" i="106" s="1"/>
  <c r="AC207" i="99"/>
  <c r="AC171" i="99"/>
  <c r="AC135" i="99"/>
  <c r="AC99" i="99"/>
  <c r="AC63" i="99"/>
  <c r="AC27" i="99"/>
  <c r="Z58" i="109" l="1"/>
  <c r="V58" i="109"/>
  <c r="S103" i="109"/>
  <c r="S104" i="109" s="1"/>
  <c r="T106" i="109" s="1"/>
  <c r="T107" i="109" s="1"/>
  <c r="T108" i="109" s="1"/>
  <c r="U48" i="106"/>
  <c r="AD26" i="107"/>
  <c r="AD27" i="107" s="1"/>
  <c r="AA28" i="107" s="1"/>
  <c r="AB31" i="107"/>
  <c r="AB27" i="107"/>
  <c r="V42" i="106"/>
  <c r="AL41" i="106" s="1"/>
  <c r="AA48" i="106"/>
  <c r="AC48" i="106" s="1"/>
  <c r="AD50" i="106"/>
  <c r="AD51" i="106" s="1"/>
  <c r="AC50" i="106"/>
  <c r="AC51" i="106" s="1"/>
  <c r="AE50" i="106"/>
  <c r="AE51" i="106" s="1"/>
  <c r="AF50" i="106"/>
  <c r="AF51" i="106" s="1"/>
  <c r="AA50" i="106"/>
  <c r="U41" i="32"/>
  <c r="B16" i="100"/>
  <c r="U5" i="71"/>
  <c r="AO5" i="71" s="1"/>
  <c r="S37" i="73"/>
  <c r="C35" i="96"/>
  <c r="P21" i="105"/>
  <c r="K18" i="73"/>
  <c r="R17" i="96"/>
  <c r="S106" i="109" l="1"/>
  <c r="S107" i="109" s="1"/>
  <c r="S108" i="109" s="1"/>
  <c r="W109" i="109" s="1"/>
  <c r="W37" i="73" s="1"/>
  <c r="AD28" i="107"/>
  <c r="AD29" i="107" s="1"/>
  <c r="AC33" i="107"/>
  <c r="AC34" i="107" s="1"/>
  <c r="AB33" i="107"/>
  <c r="AA34" i="107"/>
  <c r="AA49" i="106"/>
  <c r="AA54" i="106"/>
  <c r="AA56" i="106" s="1"/>
  <c r="AE59" i="106"/>
  <c r="AE58" i="106"/>
  <c r="AF59" i="106"/>
  <c r="AF58" i="106"/>
  <c r="AC58" i="106"/>
  <c r="AC59" i="106"/>
  <c r="AD58" i="106"/>
  <c r="AD59" i="106"/>
  <c r="AC52" i="106"/>
  <c r="AA51" i="106"/>
  <c r="AA53" i="106"/>
  <c r="AD48" i="106"/>
  <c r="AE48" i="106" s="1"/>
  <c r="AF48" i="106" s="1"/>
  <c r="AC49" i="106"/>
  <c r="AC55" i="106" s="1"/>
  <c r="AA70" i="106" s="1"/>
  <c r="AC53" i="106"/>
  <c r="AA52" i="106"/>
  <c r="P2" i="105"/>
  <c r="AC42" i="73"/>
  <c r="AC44" i="73"/>
  <c r="AP37" i="73" l="1"/>
  <c r="S39" i="73"/>
  <c r="Z30" i="107"/>
  <c r="Z36" i="107" s="1"/>
  <c r="AD30" i="107"/>
  <c r="AD46" i="107" s="1"/>
  <c r="AD47" i="107" s="1"/>
  <c r="AA35" i="107"/>
  <c r="AA38" i="107" s="1"/>
  <c r="AB38" i="107"/>
  <c r="AB39" i="107" s="1"/>
  <c r="AC35" i="107"/>
  <c r="AC36" i="107" s="1"/>
  <c r="AC37" i="107" s="1"/>
  <c r="AC56" i="106"/>
  <c r="AA58" i="106"/>
  <c r="AG58" i="106" s="1"/>
  <c r="Z70" i="106"/>
  <c r="AD72" i="106"/>
  <c r="AA72" i="106" s="1"/>
  <c r="AD71" i="106"/>
  <c r="AA71" i="106" s="1"/>
  <c r="AA59" i="106"/>
  <c r="AC5" i="96"/>
  <c r="AE8" i="96" s="1"/>
  <c r="AE9" i="96" s="1"/>
  <c r="M35" i="96" s="1"/>
  <c r="H9" i="71"/>
  <c r="W153" i="99"/>
  <c r="W189" i="99"/>
  <c r="AB7" i="71"/>
  <c r="B10" i="71"/>
  <c r="D5" i="99"/>
  <c r="D8" i="99"/>
  <c r="D7" i="99"/>
  <c r="D6" i="99"/>
  <c r="AA40" i="107" l="1"/>
  <c r="AA43" i="107" s="1"/>
  <c r="AA44" i="107" s="1"/>
  <c r="AB40" i="107"/>
  <c r="AB41" i="107" s="1"/>
  <c r="Z37" i="107"/>
  <c r="AC46" i="107"/>
  <c r="AC47" i="107" s="1"/>
  <c r="AF71" i="106"/>
  <c r="AH69" i="106" s="1"/>
  <c r="AB6" i="71"/>
  <c r="Z41" i="107" l="1"/>
  <c r="Z42" i="107" s="1"/>
  <c r="Z43" i="107" s="1"/>
  <c r="U8" i="71"/>
  <c r="U7" i="71"/>
  <c r="AB42" i="107" l="1"/>
  <c r="AA45" i="107"/>
  <c r="AA46" i="107" s="1"/>
  <c r="AA47" i="107" s="1"/>
  <c r="Z45" i="107"/>
  <c r="Z46" i="107" s="1"/>
  <c r="Z47" i="107" s="1"/>
  <c r="C18" i="73"/>
  <c r="AB46" i="107" l="1"/>
  <c r="AB47" i="107" s="1"/>
  <c r="AD48" i="107" s="1"/>
  <c r="U2" i="106" s="1"/>
  <c r="AH6" i="71" s="1"/>
  <c r="AB9" i="71" s="1"/>
  <c r="AS24" i="32"/>
  <c r="AV21" i="99" l="1"/>
  <c r="U6" i="71"/>
  <c r="H7" i="71"/>
  <c r="H6" i="71"/>
  <c r="H5" i="71"/>
  <c r="C19" i="73"/>
  <c r="C17" i="73"/>
  <c r="C18" i="96" l="1"/>
  <c r="C16" i="96"/>
  <c r="V34" i="80"/>
  <c r="Q7" i="99" l="1"/>
  <c r="O5" i="99"/>
  <c r="E25" i="80"/>
  <c r="E23" i="80"/>
  <c r="AV17" i="32" l="1"/>
  <c r="O55" i="73" l="1"/>
  <c r="K55" i="73"/>
  <c r="G55" i="73"/>
  <c r="W14" i="99" l="1"/>
  <c r="W17" i="99"/>
  <c r="AB191" i="104" l="1"/>
  <c r="AB155" i="104"/>
  <c r="AB119" i="104"/>
  <c r="AB83" i="104"/>
  <c r="AB47" i="104"/>
  <c r="AB11" i="104"/>
  <c r="K220" i="104" l="1"/>
  <c r="J220" i="104"/>
  <c r="I220" i="104"/>
  <c r="H220" i="104"/>
  <c r="G220" i="104"/>
  <c r="F220" i="104"/>
  <c r="C217" i="104"/>
  <c r="AB210" i="104"/>
  <c r="V210" i="104"/>
  <c r="AB209" i="104"/>
  <c r="V209" i="104"/>
  <c r="AB208" i="104"/>
  <c r="V208" i="104"/>
  <c r="AB207" i="104"/>
  <c r="V207" i="104"/>
  <c r="R207" i="104"/>
  <c r="AB206" i="104"/>
  <c r="V206" i="104"/>
  <c r="R206" i="104"/>
  <c r="V205" i="104"/>
  <c r="R205" i="104"/>
  <c r="AB204" i="104"/>
  <c r="V204" i="104"/>
  <c r="R204" i="104"/>
  <c r="AK203" i="104"/>
  <c r="AA203" i="104"/>
  <c r="R203" i="104"/>
  <c r="AB202" i="104"/>
  <c r="V202" i="104"/>
  <c r="R202" i="104"/>
  <c r="AB201" i="104"/>
  <c r="V201" i="104"/>
  <c r="R201" i="104"/>
  <c r="R200" i="104"/>
  <c r="AK199" i="104"/>
  <c r="AF199" i="104"/>
  <c r="AA199" i="104"/>
  <c r="V199" i="104"/>
  <c r="R199" i="104"/>
  <c r="AB198" i="104"/>
  <c r="AH198" i="104" s="1"/>
  <c r="V198" i="104"/>
  <c r="R198" i="104"/>
  <c r="AB197" i="104"/>
  <c r="V197" i="104"/>
  <c r="AB196" i="104"/>
  <c r="V196" i="104"/>
  <c r="AU195" i="104"/>
  <c r="V195" i="104"/>
  <c r="BX194" i="104"/>
  <c r="AU194" i="104"/>
  <c r="AI194" i="104"/>
  <c r="AB194" i="104"/>
  <c r="V194" i="104"/>
  <c r="BX193" i="104"/>
  <c r="AZ193" i="104"/>
  <c r="AU193" i="104"/>
  <c r="AI193" i="104"/>
  <c r="AB193" i="104"/>
  <c r="BX192" i="104"/>
  <c r="AZ192" i="104"/>
  <c r="AU192" i="104"/>
  <c r="V192" i="104"/>
  <c r="V191" i="104"/>
  <c r="AB190" i="104"/>
  <c r="V190" i="104"/>
  <c r="V189" i="104"/>
  <c r="K184" i="104"/>
  <c r="J184" i="104"/>
  <c r="I184" i="104"/>
  <c r="H184" i="104"/>
  <c r="G184" i="104"/>
  <c r="F184" i="104"/>
  <c r="C181" i="104"/>
  <c r="AB174" i="104"/>
  <c r="V174" i="104"/>
  <c r="AB173" i="104"/>
  <c r="V173" i="104"/>
  <c r="AB172" i="104"/>
  <c r="V172" i="104"/>
  <c r="AB171" i="104"/>
  <c r="V171" i="104"/>
  <c r="R171" i="104"/>
  <c r="AB170" i="104"/>
  <c r="V170" i="104"/>
  <c r="R170" i="104"/>
  <c r="V169" i="104"/>
  <c r="R169" i="104"/>
  <c r="AB168" i="104"/>
  <c r="V168" i="104"/>
  <c r="R168" i="104"/>
  <c r="AK167" i="104"/>
  <c r="AA167" i="104"/>
  <c r="R167" i="104"/>
  <c r="AB166" i="104"/>
  <c r="V166" i="104"/>
  <c r="R166" i="104"/>
  <c r="AB165" i="104"/>
  <c r="V165" i="104"/>
  <c r="R165" i="104"/>
  <c r="R164" i="104"/>
  <c r="AK163" i="104"/>
  <c r="AF163" i="104"/>
  <c r="AA163" i="104"/>
  <c r="V163" i="104"/>
  <c r="R163" i="104"/>
  <c r="AB162" i="104"/>
  <c r="AH162" i="104" s="1"/>
  <c r="V162" i="104"/>
  <c r="R162" i="104"/>
  <c r="AB161" i="104"/>
  <c r="V161" i="104"/>
  <c r="AB160" i="104"/>
  <c r="V160" i="104"/>
  <c r="AU159" i="104"/>
  <c r="V159" i="104"/>
  <c r="BX158" i="104"/>
  <c r="AU158" i="104"/>
  <c r="AI158" i="104"/>
  <c r="AB158" i="104"/>
  <c r="V158" i="104"/>
  <c r="BX157" i="104"/>
  <c r="AZ157" i="104"/>
  <c r="AU157" i="104"/>
  <c r="AI157" i="104"/>
  <c r="AB157" i="104"/>
  <c r="BX156" i="104"/>
  <c r="AZ156" i="104"/>
  <c r="AU156" i="104"/>
  <c r="V156" i="104"/>
  <c r="V155" i="104"/>
  <c r="AB154" i="104"/>
  <c r="V154" i="104"/>
  <c r="V153" i="104"/>
  <c r="K148" i="104"/>
  <c r="J148" i="104"/>
  <c r="I148" i="104"/>
  <c r="H148" i="104"/>
  <c r="G148" i="104"/>
  <c r="F148" i="104"/>
  <c r="C145" i="104"/>
  <c r="AB138" i="104"/>
  <c r="V138" i="104"/>
  <c r="AB137" i="104"/>
  <c r="V137" i="104"/>
  <c r="AB136" i="104"/>
  <c r="V136" i="104"/>
  <c r="AB135" i="104"/>
  <c r="V135" i="104"/>
  <c r="R135" i="104"/>
  <c r="AB134" i="104"/>
  <c r="V134" i="104"/>
  <c r="R134" i="104"/>
  <c r="V133" i="104"/>
  <c r="R133" i="104"/>
  <c r="AB132" i="104"/>
  <c r="V132" i="104"/>
  <c r="R132" i="104"/>
  <c r="AK131" i="104"/>
  <c r="AA131" i="104"/>
  <c r="R131" i="104"/>
  <c r="AB130" i="104"/>
  <c r="V130" i="104"/>
  <c r="R130" i="104"/>
  <c r="AB129" i="104"/>
  <c r="V129" i="104"/>
  <c r="R129" i="104"/>
  <c r="R128" i="104"/>
  <c r="AK127" i="104"/>
  <c r="AF127" i="104"/>
  <c r="AA127" i="104"/>
  <c r="V127" i="104"/>
  <c r="R127" i="104"/>
  <c r="AB126" i="104"/>
  <c r="AH126" i="104" s="1"/>
  <c r="V126" i="104"/>
  <c r="R126" i="104"/>
  <c r="AB125" i="104"/>
  <c r="V125" i="104"/>
  <c r="AB124" i="104"/>
  <c r="V124" i="104"/>
  <c r="AU123" i="104"/>
  <c r="V123" i="104"/>
  <c r="BX122" i="104"/>
  <c r="AU122" i="104"/>
  <c r="AI122" i="104"/>
  <c r="AB122" i="104"/>
  <c r="V122" i="104"/>
  <c r="BX121" i="104"/>
  <c r="AZ121" i="104"/>
  <c r="AU121" i="104"/>
  <c r="AI121" i="104"/>
  <c r="AB121" i="104"/>
  <c r="BX120" i="104"/>
  <c r="AZ120" i="104"/>
  <c r="AU120" i="104"/>
  <c r="V120" i="104"/>
  <c r="V119" i="104"/>
  <c r="AB118" i="104"/>
  <c r="V118" i="104"/>
  <c r="V117" i="104"/>
  <c r="K112" i="104"/>
  <c r="J112" i="104"/>
  <c r="I112" i="104"/>
  <c r="H112" i="104"/>
  <c r="G112" i="104"/>
  <c r="F112" i="104"/>
  <c r="C109" i="104"/>
  <c r="AB102" i="104"/>
  <c r="V102" i="104"/>
  <c r="AB101" i="104"/>
  <c r="V101" i="104"/>
  <c r="AB100" i="104"/>
  <c r="V100" i="104"/>
  <c r="AB99" i="104"/>
  <c r="V99" i="104"/>
  <c r="R99" i="104"/>
  <c r="AB98" i="104"/>
  <c r="V98" i="104"/>
  <c r="R98" i="104"/>
  <c r="V97" i="104"/>
  <c r="R97" i="104"/>
  <c r="AB96" i="104"/>
  <c r="V96" i="104"/>
  <c r="R96" i="104"/>
  <c r="AK95" i="104"/>
  <c r="AB95" i="104"/>
  <c r="R95" i="104"/>
  <c r="AB94" i="104"/>
  <c r="V94" i="104"/>
  <c r="R94" i="104"/>
  <c r="AB93" i="104"/>
  <c r="V93" i="104"/>
  <c r="R93" i="104"/>
  <c r="R92" i="104"/>
  <c r="AK91" i="104"/>
  <c r="AF91" i="104"/>
  <c r="AA91" i="104"/>
  <c r="V91" i="104"/>
  <c r="R91" i="104"/>
  <c r="AB90" i="104"/>
  <c r="AH90" i="104" s="1"/>
  <c r="V90" i="104"/>
  <c r="R90" i="104"/>
  <c r="AB89" i="104"/>
  <c r="V89" i="104"/>
  <c r="AB88" i="104"/>
  <c r="V88" i="104"/>
  <c r="AU87" i="104"/>
  <c r="V87" i="104"/>
  <c r="BX86" i="104"/>
  <c r="AU86" i="104"/>
  <c r="AI86" i="104"/>
  <c r="AB86" i="104"/>
  <c r="V86" i="104"/>
  <c r="BX85" i="104"/>
  <c r="AZ85" i="104"/>
  <c r="AU85" i="104"/>
  <c r="AI85" i="104"/>
  <c r="AB85" i="104"/>
  <c r="BX84" i="104"/>
  <c r="AZ84" i="104"/>
  <c r="AU84" i="104"/>
  <c r="V84" i="104"/>
  <c r="V83" i="104"/>
  <c r="AB82" i="104"/>
  <c r="V82" i="104"/>
  <c r="V81" i="104"/>
  <c r="K76" i="104"/>
  <c r="J76" i="104"/>
  <c r="I76" i="104"/>
  <c r="H76" i="104"/>
  <c r="G76" i="104"/>
  <c r="F76" i="104"/>
  <c r="C73" i="104"/>
  <c r="AB66" i="104"/>
  <c r="V66" i="104"/>
  <c r="AB65" i="104"/>
  <c r="V65" i="104"/>
  <c r="AB64" i="104"/>
  <c r="V64" i="104"/>
  <c r="AB63" i="104"/>
  <c r="V63" i="104"/>
  <c r="R63" i="104"/>
  <c r="AB62" i="104"/>
  <c r="V62" i="104"/>
  <c r="R62" i="104"/>
  <c r="V61" i="104"/>
  <c r="R61" i="104"/>
  <c r="AB60" i="104"/>
  <c r="V60" i="104"/>
  <c r="R60" i="104"/>
  <c r="AK59" i="104"/>
  <c r="AB59" i="104"/>
  <c r="R59" i="104"/>
  <c r="AB58" i="104"/>
  <c r="V58" i="104"/>
  <c r="R58" i="104"/>
  <c r="AB57" i="104"/>
  <c r="V57" i="104"/>
  <c r="R57" i="104"/>
  <c r="R56" i="104"/>
  <c r="AK55" i="104"/>
  <c r="AF55" i="104"/>
  <c r="AA55" i="104"/>
  <c r="V55" i="104"/>
  <c r="R55" i="104"/>
  <c r="AB54" i="104"/>
  <c r="AI54" i="104" s="1"/>
  <c r="V54" i="104"/>
  <c r="R54" i="104"/>
  <c r="AB53" i="104"/>
  <c r="V53" i="104"/>
  <c r="AB52" i="104"/>
  <c r="V52" i="104"/>
  <c r="AU51" i="104"/>
  <c r="V51" i="104"/>
  <c r="BX50" i="104"/>
  <c r="AU50" i="104"/>
  <c r="AI50" i="104"/>
  <c r="AB50" i="104"/>
  <c r="V50" i="104"/>
  <c r="BX49" i="104"/>
  <c r="AZ49" i="104"/>
  <c r="AU49" i="104"/>
  <c r="AI49" i="104"/>
  <c r="AB49" i="104"/>
  <c r="BX48" i="104"/>
  <c r="AZ48" i="104"/>
  <c r="AU48" i="104"/>
  <c r="V48" i="104"/>
  <c r="V47" i="104"/>
  <c r="AB46" i="104"/>
  <c r="V46" i="104"/>
  <c r="V45" i="104"/>
  <c r="K40" i="104"/>
  <c r="J40" i="104"/>
  <c r="I40" i="104"/>
  <c r="H40" i="104"/>
  <c r="G40" i="104"/>
  <c r="F40" i="104"/>
  <c r="C37" i="104"/>
  <c r="AB30" i="104"/>
  <c r="V30" i="104"/>
  <c r="AB29" i="104"/>
  <c r="V29" i="104"/>
  <c r="AB28" i="104"/>
  <c r="V28" i="104"/>
  <c r="AB27" i="104"/>
  <c r="V27" i="104"/>
  <c r="R27" i="104"/>
  <c r="AB26" i="104"/>
  <c r="V26" i="104"/>
  <c r="R26" i="104"/>
  <c r="V25" i="104"/>
  <c r="R25" i="104"/>
  <c r="AB24" i="104"/>
  <c r="V24" i="104"/>
  <c r="R24" i="104"/>
  <c r="AK23" i="104"/>
  <c r="AA23" i="104"/>
  <c r="R23" i="104"/>
  <c r="AB22" i="104"/>
  <c r="V22" i="104"/>
  <c r="R22" i="104"/>
  <c r="AB21" i="104"/>
  <c r="V21" i="104"/>
  <c r="R21" i="104"/>
  <c r="R20" i="104"/>
  <c r="AK19" i="104"/>
  <c r="AF19" i="104"/>
  <c r="AA19" i="104"/>
  <c r="V19" i="104"/>
  <c r="R19" i="104"/>
  <c r="V18" i="104"/>
  <c r="R18" i="104"/>
  <c r="AB17" i="104"/>
  <c r="V17" i="104"/>
  <c r="AB16" i="104"/>
  <c r="V16" i="104"/>
  <c r="AU15" i="104"/>
  <c r="V15" i="104"/>
  <c r="BX14" i="104"/>
  <c r="AU14" i="104"/>
  <c r="AI14" i="104"/>
  <c r="AB14" i="104"/>
  <c r="V14" i="104"/>
  <c r="BX13" i="104"/>
  <c r="AZ13" i="104"/>
  <c r="AU13" i="104"/>
  <c r="BX12" i="104"/>
  <c r="AZ12" i="104"/>
  <c r="AU12" i="104"/>
  <c r="V12" i="104"/>
  <c r="V11" i="104"/>
  <c r="AB10" i="104"/>
  <c r="V10" i="104"/>
  <c r="V9" i="104"/>
  <c r="AN1" i="104"/>
  <c r="BU2" i="63" l="1"/>
  <c r="BU2" i="61"/>
  <c r="BU2" i="59"/>
  <c r="BU2" i="57"/>
  <c r="BU2" i="55"/>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BU2" i="50"/>
  <c r="C34" i="51"/>
  <c r="C33" i="51"/>
  <c r="AC59" i="99"/>
  <c r="AC95" i="99"/>
  <c r="AC204" i="99"/>
  <c r="AC168" i="99"/>
  <c r="AC132" i="99"/>
  <c r="AC96" i="99"/>
  <c r="AC60" i="99"/>
  <c r="W204" i="99"/>
  <c r="W168" i="99"/>
  <c r="W132" i="99"/>
  <c r="W96" i="99"/>
  <c r="W60" i="99"/>
  <c r="W210" i="99" l="1"/>
  <c r="W174" i="99"/>
  <c r="W138" i="99"/>
  <c r="W102" i="99"/>
  <c r="W66" i="99"/>
  <c r="EF65" i="50"/>
  <c r="BU3" i="63" l="1"/>
  <c r="CD35" i="63"/>
  <c r="CC35" i="63"/>
  <c r="CD34" i="63"/>
  <c r="CC34" i="63"/>
  <c r="CD33" i="63"/>
  <c r="CC33" i="63"/>
  <c r="CD32" i="63"/>
  <c r="CC32" i="63"/>
  <c r="J15" i="63"/>
  <c r="J14" i="63"/>
  <c r="CD35" i="61"/>
  <c r="CC35" i="61"/>
  <c r="CD34" i="61"/>
  <c r="CC34" i="61"/>
  <c r="CD33" i="61"/>
  <c r="CC33" i="61"/>
  <c r="CD32" i="61"/>
  <c r="CC32" i="61"/>
  <c r="J15" i="61"/>
  <c r="J14" i="61"/>
  <c r="BU3" i="61"/>
  <c r="BU3" i="59"/>
  <c r="CD35" i="59"/>
  <c r="CC35" i="59"/>
  <c r="CD34" i="59"/>
  <c r="CC34" i="59"/>
  <c r="CD33" i="59"/>
  <c r="CC33" i="59"/>
  <c r="CD32" i="59"/>
  <c r="CC32" i="59"/>
  <c r="J15" i="59"/>
  <c r="J14" i="59"/>
  <c r="BU3" i="57"/>
  <c r="CD35" i="57"/>
  <c r="CC35" i="57"/>
  <c r="CD34" i="57"/>
  <c r="CC34" i="57"/>
  <c r="CD33" i="57"/>
  <c r="CC33" i="57"/>
  <c r="CD32" i="57"/>
  <c r="CC32" i="57"/>
  <c r="J15" i="57"/>
  <c r="J14" i="57"/>
  <c r="BU3" i="55"/>
  <c r="CD35" i="55"/>
  <c r="CC35" i="55"/>
  <c r="CD34" i="55"/>
  <c r="CC34" i="55"/>
  <c r="CD33" i="55"/>
  <c r="CC33" i="55"/>
  <c r="CD32" i="55"/>
  <c r="CC32" i="55"/>
  <c r="J15" i="55"/>
  <c r="J14" i="55"/>
  <c r="AU30" i="32" l="1"/>
  <c r="AC16" i="99"/>
  <c r="AC24" i="99" l="1"/>
  <c r="W24" i="99"/>
  <c r="BY194" i="99" l="1"/>
  <c r="BY121" i="99"/>
  <c r="AC22" i="99"/>
  <c r="W19" i="99"/>
  <c r="E2" i="29"/>
  <c r="AE2" i="29"/>
  <c r="AF2" i="29"/>
  <c r="AG2" i="29"/>
  <c r="AH2" i="29"/>
  <c r="AI2" i="29"/>
  <c r="AJ2" i="29"/>
  <c r="E3" i="29"/>
  <c r="AE3" i="29"/>
  <c r="AF3" i="29"/>
  <c r="AG3" i="29"/>
  <c r="AH3" i="29"/>
  <c r="AI3" i="29"/>
  <c r="AJ3" i="29"/>
  <c r="E4" i="29"/>
  <c r="AE4" i="29"/>
  <c r="AF4" i="29"/>
  <c r="AG4" i="29"/>
  <c r="AH4" i="29"/>
  <c r="AI4" i="29"/>
  <c r="AJ4" i="29"/>
  <c r="E5" i="29"/>
  <c r="AE5" i="29"/>
  <c r="AF5" i="29"/>
  <c r="AG5" i="29"/>
  <c r="AH5" i="29"/>
  <c r="AI5" i="29"/>
  <c r="AJ5" i="29"/>
  <c r="E6" i="29"/>
  <c r="AE6" i="29"/>
  <c r="AF6" i="29"/>
  <c r="AG6" i="29"/>
  <c r="AH6" i="29"/>
  <c r="AI6" i="29"/>
  <c r="AJ6" i="29"/>
  <c r="E7" i="29"/>
  <c r="AE7" i="29"/>
  <c r="AF7" i="29"/>
  <c r="AG7" i="29"/>
  <c r="AH7" i="29"/>
  <c r="AI7" i="29"/>
  <c r="AJ7" i="29"/>
  <c r="E8" i="29"/>
  <c r="AE8" i="29"/>
  <c r="AF8" i="29"/>
  <c r="AG8" i="29"/>
  <c r="AH8" i="29"/>
  <c r="AI8" i="29"/>
  <c r="AJ8" i="29"/>
  <c r="E9" i="29"/>
  <c r="AE9" i="29"/>
  <c r="AF9" i="29"/>
  <c r="AG9" i="29"/>
  <c r="AH9" i="29"/>
  <c r="AI9" i="29"/>
  <c r="AJ9" i="29"/>
  <c r="E10" i="29"/>
  <c r="AE10" i="29"/>
  <c r="AF10" i="29"/>
  <c r="AG10" i="29"/>
  <c r="AH10" i="29"/>
  <c r="AI10" i="29"/>
  <c r="AJ10" i="29"/>
  <c r="E11" i="29"/>
  <c r="AE11" i="29"/>
  <c r="AF11" i="29"/>
  <c r="AG11" i="29"/>
  <c r="AH11" i="29"/>
  <c r="AI11" i="29"/>
  <c r="AJ11" i="29"/>
  <c r="E12" i="29"/>
  <c r="AE12" i="29"/>
  <c r="AF12" i="29"/>
  <c r="AG12" i="29"/>
  <c r="AH12" i="29"/>
  <c r="AI12" i="29"/>
  <c r="AJ12" i="29"/>
  <c r="E13" i="29"/>
  <c r="AE13" i="29"/>
  <c r="AF13" i="29"/>
  <c r="AG13" i="29"/>
  <c r="AH13" i="29"/>
  <c r="AI13" i="29"/>
  <c r="AJ13" i="29"/>
  <c r="E14" i="29"/>
  <c r="AE14" i="29"/>
  <c r="AF14" i="29"/>
  <c r="AG14" i="29"/>
  <c r="AH14" i="29"/>
  <c r="AI14" i="29"/>
  <c r="AJ14" i="29"/>
  <c r="E15" i="29"/>
  <c r="AE15" i="29"/>
  <c r="AF15" i="29"/>
  <c r="AG15" i="29"/>
  <c r="AH15" i="29"/>
  <c r="AI15" i="29"/>
  <c r="AJ15" i="29"/>
  <c r="E16" i="29"/>
  <c r="AE16" i="29"/>
  <c r="AF16" i="29"/>
  <c r="AG16" i="29"/>
  <c r="AH16" i="29"/>
  <c r="AI16" i="29"/>
  <c r="AJ16" i="29"/>
  <c r="E17" i="29"/>
  <c r="AE17" i="29"/>
  <c r="AF17" i="29"/>
  <c r="AG17" i="29"/>
  <c r="AH17" i="29"/>
  <c r="AI17" i="29"/>
  <c r="AJ17" i="29"/>
  <c r="E18" i="29"/>
  <c r="AE18" i="29"/>
  <c r="AF18" i="29"/>
  <c r="AG18" i="29"/>
  <c r="AH18" i="29"/>
  <c r="AI18" i="29"/>
  <c r="AJ18" i="29"/>
  <c r="E19" i="29"/>
  <c r="AE19" i="29"/>
  <c r="AF19" i="29"/>
  <c r="AG19" i="29"/>
  <c r="AH19" i="29"/>
  <c r="AI19" i="29"/>
  <c r="AJ19" i="29"/>
  <c r="E20" i="29"/>
  <c r="AE20" i="29"/>
  <c r="AF20" i="29"/>
  <c r="AG20" i="29"/>
  <c r="AH20" i="29"/>
  <c r="AI20" i="29"/>
  <c r="AJ20" i="29"/>
  <c r="E21" i="29"/>
  <c r="AE21" i="29"/>
  <c r="AF21" i="29"/>
  <c r="AG21" i="29"/>
  <c r="AH21" i="29"/>
  <c r="AI21" i="29"/>
  <c r="AJ21" i="29"/>
  <c r="E22" i="29"/>
  <c r="AE22" i="29"/>
  <c r="AF22" i="29"/>
  <c r="AG22" i="29"/>
  <c r="AH22" i="29"/>
  <c r="AI22" i="29"/>
  <c r="AJ22" i="29"/>
  <c r="E23" i="29"/>
  <c r="AE23" i="29"/>
  <c r="AF23" i="29"/>
  <c r="AG23" i="29"/>
  <c r="AH23" i="29"/>
  <c r="AI23" i="29"/>
  <c r="AJ23" i="29"/>
  <c r="E24" i="29"/>
  <c r="AE24" i="29"/>
  <c r="AF24" i="29"/>
  <c r="AG24" i="29"/>
  <c r="AH24" i="29"/>
  <c r="AI24" i="29"/>
  <c r="AJ24" i="29"/>
  <c r="E25" i="29"/>
  <c r="AE25" i="29"/>
  <c r="AF25" i="29"/>
  <c r="AG25" i="29"/>
  <c r="AH25" i="29"/>
  <c r="AI25" i="29"/>
  <c r="AJ25" i="29"/>
  <c r="E26" i="29"/>
  <c r="AE26" i="29"/>
  <c r="AF26" i="29"/>
  <c r="AG26" i="29"/>
  <c r="AH26" i="29"/>
  <c r="AI26" i="29"/>
  <c r="AJ26" i="29"/>
  <c r="E27" i="29"/>
  <c r="AE27" i="29"/>
  <c r="AF27" i="29"/>
  <c r="AG27" i="29"/>
  <c r="AH27" i="29"/>
  <c r="AI27" i="29"/>
  <c r="AJ27" i="29"/>
  <c r="E28" i="29"/>
  <c r="AE28" i="29"/>
  <c r="AF28" i="29"/>
  <c r="AG28" i="29"/>
  <c r="AH28" i="29"/>
  <c r="AI28" i="29"/>
  <c r="AJ28" i="29"/>
  <c r="E29" i="29"/>
  <c r="AE29" i="29"/>
  <c r="AF29" i="29"/>
  <c r="AG29" i="29"/>
  <c r="AH29" i="29"/>
  <c r="AI29" i="29"/>
  <c r="AJ29" i="29"/>
  <c r="E30" i="29"/>
  <c r="AE30" i="29"/>
  <c r="AF30" i="29"/>
  <c r="AG30" i="29"/>
  <c r="AH30" i="29"/>
  <c r="AI30" i="29"/>
  <c r="AJ30" i="29"/>
  <c r="E31" i="29"/>
  <c r="AE31" i="29"/>
  <c r="AF31" i="29"/>
  <c r="AG31" i="29"/>
  <c r="AH31" i="29"/>
  <c r="AI31" i="29"/>
  <c r="AJ31" i="29"/>
  <c r="E32" i="29"/>
  <c r="AE32" i="29"/>
  <c r="AF32" i="29"/>
  <c r="AG32" i="29"/>
  <c r="AH32" i="29"/>
  <c r="AI32" i="29"/>
  <c r="AJ32" i="29"/>
  <c r="E33" i="29"/>
  <c r="AE33" i="29"/>
  <c r="AF33" i="29"/>
  <c r="AG33" i="29"/>
  <c r="AH33" i="29"/>
  <c r="AI33" i="29"/>
  <c r="AJ33" i="29"/>
  <c r="E34" i="29"/>
  <c r="AE34" i="29"/>
  <c r="AF34" i="29"/>
  <c r="AG34" i="29"/>
  <c r="AH34" i="29"/>
  <c r="AI34" i="29"/>
  <c r="AJ34" i="29"/>
  <c r="E35" i="29"/>
  <c r="AE35" i="29"/>
  <c r="AF35" i="29"/>
  <c r="AG35" i="29"/>
  <c r="AH35" i="29"/>
  <c r="AI35" i="29"/>
  <c r="AJ35" i="29"/>
  <c r="E36" i="29"/>
  <c r="AE36" i="29"/>
  <c r="AF36" i="29"/>
  <c r="AG36" i="29"/>
  <c r="AH36" i="29"/>
  <c r="AI36" i="29"/>
  <c r="AJ36" i="29"/>
  <c r="E37" i="29"/>
  <c r="AE37" i="29"/>
  <c r="AF37" i="29"/>
  <c r="AG37" i="29"/>
  <c r="AH37" i="29"/>
  <c r="AI37" i="29"/>
  <c r="AJ37" i="29"/>
  <c r="E38" i="29"/>
  <c r="AE38" i="29"/>
  <c r="AF38" i="29"/>
  <c r="AG38" i="29"/>
  <c r="AH38" i="29"/>
  <c r="AI38" i="29"/>
  <c r="AJ38" i="29"/>
  <c r="E39" i="29"/>
  <c r="AE39" i="29"/>
  <c r="AF39" i="29"/>
  <c r="AG39" i="29"/>
  <c r="AH39" i="29"/>
  <c r="AI39" i="29"/>
  <c r="AJ39" i="29"/>
  <c r="E40" i="29"/>
  <c r="AE40" i="29"/>
  <c r="AF40" i="29"/>
  <c r="AG40" i="29"/>
  <c r="AH40" i="29"/>
  <c r="AI40" i="29"/>
  <c r="AJ40" i="29"/>
  <c r="E41" i="29"/>
  <c r="AE41" i="29"/>
  <c r="AF41" i="29"/>
  <c r="AG41" i="29"/>
  <c r="AH41" i="29"/>
  <c r="AI41" i="29"/>
  <c r="AJ41" i="29"/>
  <c r="E42" i="29"/>
  <c r="AE42" i="29"/>
  <c r="AF42" i="29"/>
  <c r="AG42" i="29"/>
  <c r="AH42" i="29"/>
  <c r="AI42" i="29"/>
  <c r="AJ42" i="29"/>
  <c r="E43" i="29"/>
  <c r="AE43" i="29"/>
  <c r="AF43" i="29"/>
  <c r="AG43" i="29"/>
  <c r="AH43" i="29"/>
  <c r="AI43" i="29"/>
  <c r="AJ43" i="29"/>
  <c r="E44" i="29"/>
  <c r="AE44" i="29"/>
  <c r="AF44" i="29"/>
  <c r="AG44" i="29"/>
  <c r="AH44" i="29"/>
  <c r="AI44" i="29"/>
  <c r="AJ44" i="29"/>
  <c r="E45" i="29"/>
  <c r="AE45" i="29"/>
  <c r="AF45" i="29"/>
  <c r="AG45" i="29"/>
  <c r="AH45" i="29"/>
  <c r="AI45" i="29"/>
  <c r="AJ45" i="29"/>
  <c r="E46" i="29"/>
  <c r="AE46" i="29"/>
  <c r="AF46" i="29"/>
  <c r="AG46" i="29"/>
  <c r="AH46" i="29"/>
  <c r="AI46" i="29"/>
  <c r="AJ46" i="29"/>
  <c r="E47" i="29"/>
  <c r="AE47" i="29"/>
  <c r="AF47" i="29"/>
  <c r="AG47" i="29"/>
  <c r="AH47" i="29"/>
  <c r="AI47" i="29"/>
  <c r="AJ47" i="29"/>
  <c r="E48" i="29"/>
  <c r="AE48" i="29"/>
  <c r="AF48" i="29"/>
  <c r="AG48" i="29"/>
  <c r="AH48" i="29"/>
  <c r="AI48" i="29"/>
  <c r="AJ48" i="29"/>
  <c r="E49" i="29"/>
  <c r="AE49" i="29"/>
  <c r="AF49" i="29"/>
  <c r="AG49" i="29"/>
  <c r="AH49" i="29"/>
  <c r="AI49" i="29"/>
  <c r="AJ49" i="29"/>
  <c r="E50" i="29"/>
  <c r="AE50" i="29"/>
  <c r="AF50" i="29"/>
  <c r="AG50" i="29"/>
  <c r="AH50" i="29"/>
  <c r="AI50" i="29"/>
  <c r="AJ50" i="29"/>
  <c r="E51" i="29"/>
  <c r="AE51" i="29"/>
  <c r="AF51" i="29"/>
  <c r="AG51" i="29"/>
  <c r="AH51" i="29"/>
  <c r="AI51" i="29"/>
  <c r="AJ51" i="29"/>
  <c r="E52" i="29"/>
  <c r="AE52" i="29"/>
  <c r="AF52" i="29"/>
  <c r="AG52" i="29"/>
  <c r="AH52" i="29"/>
  <c r="AI52" i="29"/>
  <c r="AJ52" i="29"/>
  <c r="E53" i="29"/>
  <c r="AE53" i="29"/>
  <c r="AF53" i="29"/>
  <c r="AG53" i="29"/>
  <c r="AH53" i="29"/>
  <c r="AI53" i="29"/>
  <c r="AJ53" i="29"/>
  <c r="E54" i="29"/>
  <c r="AE54" i="29"/>
  <c r="AF54" i="29"/>
  <c r="AG54" i="29"/>
  <c r="AH54" i="29"/>
  <c r="AI54" i="29"/>
  <c r="AJ54" i="29"/>
  <c r="E55" i="29"/>
  <c r="AE55" i="29"/>
  <c r="AF55" i="29"/>
  <c r="AG55" i="29"/>
  <c r="AH55" i="29"/>
  <c r="AI55" i="29"/>
  <c r="AJ55" i="29"/>
  <c r="AO1"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AM1" i="71"/>
  <c r="BU2" i="79"/>
  <c r="BU3" i="79" s="1"/>
  <c r="CG4" i="79"/>
  <c r="CH4" i="79"/>
  <c r="CI4" i="79"/>
  <c r="CJ4" i="79"/>
  <c r="CK4" i="79"/>
  <c r="CL4" i="79"/>
  <c r="CM4" i="79"/>
  <c r="CN4" i="79"/>
  <c r="CO4" i="79"/>
  <c r="CP4" i="79"/>
  <c r="CQ4" i="79"/>
  <c r="CR4" i="79"/>
  <c r="CS4" i="79"/>
  <c r="CT4" i="79"/>
  <c r="CU4" i="79"/>
  <c r="CV4" i="79"/>
  <c r="CW4" i="79"/>
  <c r="CX4" i="79"/>
  <c r="CY4" i="79"/>
  <c r="CZ4" i="79"/>
  <c r="DA4" i="79"/>
  <c r="DB4" i="79"/>
  <c r="DC4" i="79"/>
  <c r="DD4" i="79"/>
  <c r="DE4" i="79"/>
  <c r="DF4" i="79"/>
  <c r="DG4" i="79"/>
  <c r="DH4" i="79"/>
  <c r="DI4" i="79"/>
  <c r="DJ4" i="79"/>
  <c r="DK4" i="79"/>
  <c r="DL4" i="79"/>
  <c r="A17" i="79"/>
  <c r="R23" i="73"/>
  <c r="AK25" i="73"/>
  <c r="AK27" i="73"/>
  <c r="AD42" i="73"/>
  <c r="AE42" i="73"/>
  <c r="AF42" i="73"/>
  <c r="AC43" i="73"/>
  <c r="AD43" i="73"/>
  <c r="AE43" i="73"/>
  <c r="AF43" i="73"/>
  <c r="AD44" i="73"/>
  <c r="AE44" i="73"/>
  <c r="AF44" i="73"/>
  <c r="P8" i="81"/>
  <c r="B13" i="81"/>
  <c r="I20" i="81"/>
  <c r="N20" i="81"/>
  <c r="V34" i="81"/>
  <c r="I35" i="81"/>
  <c r="L35" i="81"/>
  <c r="B45" i="81"/>
  <c r="BU3" i="50"/>
  <c r="J14" i="50"/>
  <c r="T47" i="32" s="1"/>
  <c r="J15" i="50"/>
  <c r="CC32" i="50"/>
  <c r="CD32" i="50"/>
  <c r="CC33" i="50"/>
  <c r="CD33" i="50"/>
  <c r="CC34" i="50"/>
  <c r="CD34" i="50"/>
  <c r="CC35" i="50"/>
  <c r="CD35" i="50"/>
  <c r="BD3" i="32"/>
  <c r="BI3" i="32"/>
  <c r="AU15" i="32"/>
  <c r="AU16" i="32" s="1"/>
  <c r="AV15" i="32"/>
  <c r="AV16" i="32" s="1"/>
  <c r="AW24" i="32"/>
  <c r="AJ36" i="32" a="1"/>
  <c r="AJ36" i="32" s="1"/>
  <c r="AT43" i="32"/>
  <c r="R28" i="79"/>
  <c r="V27" i="79"/>
  <c r="R32" i="79"/>
  <c r="U24" i="79"/>
  <c r="Q42" i="79"/>
  <c r="U23" i="79"/>
  <c r="V23" i="79"/>
  <c r="Q41" i="79"/>
  <c r="BY193" i="99"/>
  <c r="R29" i="79"/>
  <c r="V24" i="79"/>
  <c r="BY157" i="99"/>
  <c r="BY13" i="99"/>
  <c r="BY49" i="99"/>
  <c r="U27" i="79"/>
  <c r="Q45" i="79"/>
  <c r="R34" i="79"/>
  <c r="V29" i="79"/>
  <c r="U29" i="79"/>
  <c r="Q47" i="79"/>
  <c r="R35" i="96" l="1"/>
  <c r="B694" i="53"/>
  <c r="B26" i="100" s="1"/>
  <c r="AM5" i="71"/>
  <c r="AP34" i="73"/>
  <c r="R32" i="96"/>
  <c r="AP32" i="73"/>
  <c r="AP26" i="73"/>
  <c r="AP24" i="73"/>
  <c r="AP30" i="73"/>
  <c r="AP28" i="73"/>
  <c r="AM39" i="73"/>
  <c r="AM37" i="73"/>
  <c r="O48" i="73"/>
  <c r="K48" i="73"/>
  <c r="AM34" i="73"/>
  <c r="AM32" i="73"/>
  <c r="AM30" i="73"/>
  <c r="AM28" i="73"/>
  <c r="AM26" i="73"/>
  <c r="AM24" i="73"/>
  <c r="G48" i="73"/>
  <c r="P30" i="95"/>
  <c r="P30" i="91"/>
  <c r="P30" i="94"/>
  <c r="P30" i="32"/>
  <c r="P30" i="92"/>
  <c r="P30" i="93"/>
  <c r="B167" i="53"/>
  <c r="B166" i="53"/>
  <c r="B162" i="53"/>
  <c r="B110" i="51" s="1"/>
  <c r="B155" i="53"/>
  <c r="B108" i="51" s="1"/>
  <c r="B165" i="53"/>
  <c r="B164" i="53"/>
  <c r="B163" i="53"/>
  <c r="B111" i="51" s="1"/>
  <c r="AF4" i="99"/>
  <c r="B161" i="53"/>
  <c r="B160" i="53"/>
  <c r="B109" i="51" s="1"/>
  <c r="B154" i="53"/>
  <c r="B107" i="51" s="1"/>
  <c r="B693" i="53"/>
  <c r="AC37" i="73" s="1"/>
  <c r="B681" i="53"/>
  <c r="B659" i="53"/>
  <c r="B645" i="53"/>
  <c r="B633" i="53"/>
  <c r="B621" i="53"/>
  <c r="B608" i="53"/>
  <c r="B594" i="53"/>
  <c r="B581" i="53"/>
  <c r="J21" i="97" s="1"/>
  <c r="B171" i="53"/>
  <c r="B183" i="53"/>
  <c r="B195" i="53"/>
  <c r="B207" i="53"/>
  <c r="B219" i="53"/>
  <c r="B231" i="53"/>
  <c r="B243" i="53"/>
  <c r="B255" i="53"/>
  <c r="B267" i="53"/>
  <c r="B279" i="53"/>
  <c r="B28" i="97" s="1"/>
  <c r="B291" i="53"/>
  <c r="B303" i="53"/>
  <c r="B315" i="53"/>
  <c r="B327" i="53"/>
  <c r="B23" i="100" s="1"/>
  <c r="B339" i="53"/>
  <c r="B351" i="53"/>
  <c r="B363" i="53"/>
  <c r="B375" i="53"/>
  <c r="B387" i="53"/>
  <c r="B399" i="53"/>
  <c r="B411" i="53"/>
  <c r="B423" i="53"/>
  <c r="B435" i="53"/>
  <c r="B447" i="53"/>
  <c r="B459" i="53"/>
  <c r="B471" i="53"/>
  <c r="B483" i="53"/>
  <c r="B495" i="53"/>
  <c r="B507" i="53"/>
  <c r="B519" i="53"/>
  <c r="B531" i="53"/>
  <c r="B543" i="53"/>
  <c r="B555" i="53"/>
  <c r="C20" i="52" s="1"/>
  <c r="B567" i="53"/>
  <c r="B137" i="53"/>
  <c r="B104" i="51" s="1"/>
  <c r="B104" i="53"/>
  <c r="B116" i="53"/>
  <c r="B59" i="53"/>
  <c r="A19" i="55" s="1"/>
  <c r="B16" i="53"/>
  <c r="A14" i="55" s="1"/>
  <c r="B40" i="53"/>
  <c r="U96" i="73" s="1"/>
  <c r="B6" i="53"/>
  <c r="B102" i="53"/>
  <c r="O35" i="81" s="1"/>
  <c r="B584" i="53"/>
  <c r="B456" i="53"/>
  <c r="B96" i="53"/>
  <c r="V13" i="96" s="1"/>
  <c r="B49" i="53"/>
  <c r="B350" i="53"/>
  <c r="B446" i="53"/>
  <c r="B530" i="53"/>
  <c r="B99" i="53"/>
  <c r="B39" i="53"/>
  <c r="B692" i="53"/>
  <c r="B680" i="53"/>
  <c r="B658" i="53"/>
  <c r="C29" i="96" s="1"/>
  <c r="B644" i="53"/>
  <c r="B632" i="53"/>
  <c r="S1" i="52" s="1"/>
  <c r="B620" i="53"/>
  <c r="B607" i="53"/>
  <c r="B593" i="53"/>
  <c r="B580" i="53"/>
  <c r="B172" i="53"/>
  <c r="B184" i="53"/>
  <c r="B196" i="53"/>
  <c r="B208" i="53"/>
  <c r="B220" i="53"/>
  <c r="B232" i="53"/>
  <c r="B244" i="53"/>
  <c r="B256" i="53"/>
  <c r="B268" i="53"/>
  <c r="B280" i="53"/>
  <c r="B292" i="53"/>
  <c r="B304" i="53"/>
  <c r="B316" i="53"/>
  <c r="V8" i="21" s="1"/>
  <c r="B328" i="53"/>
  <c r="B340" i="53"/>
  <c r="B352" i="53"/>
  <c r="B364" i="53"/>
  <c r="B376" i="53"/>
  <c r="B388" i="53"/>
  <c r="B400" i="53"/>
  <c r="B412" i="53"/>
  <c r="B424" i="53"/>
  <c r="B436" i="53"/>
  <c r="B448" i="53"/>
  <c r="B460" i="53"/>
  <c r="B472" i="53"/>
  <c r="B484" i="53"/>
  <c r="B496" i="53"/>
  <c r="B508" i="53"/>
  <c r="B520" i="53"/>
  <c r="B532" i="53"/>
  <c r="B544" i="53"/>
  <c r="B556" i="53"/>
  <c r="B169" i="53"/>
  <c r="B136" i="53"/>
  <c r="B105" i="53"/>
  <c r="B117" i="53"/>
  <c r="B74" i="53"/>
  <c r="U112" i="73" s="1"/>
  <c r="B60" i="53"/>
  <c r="B17" i="53"/>
  <c r="A17" i="55" s="1"/>
  <c r="B29" i="53"/>
  <c r="A29" i="55" s="1"/>
  <c r="B41" i="53"/>
  <c r="U97" i="73" s="1"/>
  <c r="B636" i="53"/>
  <c r="B288" i="53"/>
  <c r="B396" i="53"/>
  <c r="B516" i="53"/>
  <c r="B126" i="53"/>
  <c r="B374" i="53"/>
  <c r="B138" i="53"/>
  <c r="B105" i="51" s="1"/>
  <c r="B51" i="53"/>
  <c r="B691" i="53"/>
  <c r="B670" i="53"/>
  <c r="B657" i="53"/>
  <c r="B643" i="53"/>
  <c r="B631" i="53"/>
  <c r="Q1" i="52" s="1"/>
  <c r="B619" i="53"/>
  <c r="B606" i="53"/>
  <c r="B592" i="53"/>
  <c r="B579" i="53"/>
  <c r="B173" i="53"/>
  <c r="B185" i="53"/>
  <c r="B197" i="53"/>
  <c r="B209" i="53"/>
  <c r="B221" i="53"/>
  <c r="B233" i="53"/>
  <c r="B245" i="53"/>
  <c r="K4" i="97" s="1"/>
  <c r="B257" i="53"/>
  <c r="BC37" i="44" s="1"/>
  <c r="B269" i="53"/>
  <c r="B281" i="53"/>
  <c r="B293" i="53"/>
  <c r="B305" i="53"/>
  <c r="B317" i="53"/>
  <c r="S24" i="73" s="1"/>
  <c r="B329" i="53"/>
  <c r="BC38" i="44" s="1"/>
  <c r="B341" i="53"/>
  <c r="B353" i="53"/>
  <c r="B365" i="53"/>
  <c r="B377" i="53"/>
  <c r="B389" i="53"/>
  <c r="B401" i="53"/>
  <c r="B413" i="53"/>
  <c r="B425" i="53"/>
  <c r="B437" i="53"/>
  <c r="B449" i="53"/>
  <c r="B461" i="53"/>
  <c r="B473" i="53"/>
  <c r="B485" i="53"/>
  <c r="B497" i="53"/>
  <c r="B509" i="53"/>
  <c r="B521" i="53"/>
  <c r="B533" i="53"/>
  <c r="B545" i="53"/>
  <c r="B557" i="53"/>
  <c r="B135" i="53"/>
  <c r="B102" i="51" s="1"/>
  <c r="B106" i="53"/>
  <c r="B118" i="53"/>
  <c r="B73" i="53"/>
  <c r="U111" i="73" s="1"/>
  <c r="B53" i="53"/>
  <c r="A31" i="55" s="1"/>
  <c r="B18" i="53"/>
  <c r="A18" i="55" s="1"/>
  <c r="B30" i="53"/>
  <c r="A32" i="55" s="1"/>
  <c r="B42" i="53"/>
  <c r="U89" i="73" s="1"/>
  <c r="B611" i="53"/>
  <c r="B336" i="53"/>
  <c r="B444" i="53"/>
  <c r="B552" i="53"/>
  <c r="B80" i="53"/>
  <c r="U107" i="73" s="1"/>
  <c r="B338" i="53"/>
  <c r="B458" i="53"/>
  <c r="B518" i="53"/>
  <c r="B115" i="53"/>
  <c r="B690" i="53"/>
  <c r="B27" i="100" s="1"/>
  <c r="B669" i="53"/>
  <c r="B656" i="53"/>
  <c r="B642" i="53"/>
  <c r="B630" i="53"/>
  <c r="O1" i="52" s="1"/>
  <c r="B618" i="53"/>
  <c r="B604" i="53"/>
  <c r="B591" i="53"/>
  <c r="B578" i="53"/>
  <c r="B174" i="53"/>
  <c r="B186" i="53"/>
  <c r="B198" i="53"/>
  <c r="B210" i="53"/>
  <c r="B222" i="53"/>
  <c r="B234" i="53"/>
  <c r="B246" i="53"/>
  <c r="B258" i="53"/>
  <c r="B270" i="53"/>
  <c r="B282" i="53"/>
  <c r="B294" i="53"/>
  <c r="V53" i="21" s="1"/>
  <c r="B306" i="53"/>
  <c r="E10" i="80" s="1"/>
  <c r="B318" i="53"/>
  <c r="S26" i="73" s="1"/>
  <c r="B330" i="53"/>
  <c r="AM52" i="73" s="1"/>
  <c r="B342" i="53"/>
  <c r="B354" i="53"/>
  <c r="B366" i="53"/>
  <c r="B378" i="53"/>
  <c r="B390" i="53"/>
  <c r="B402" i="53"/>
  <c r="B414" i="53"/>
  <c r="B426" i="53"/>
  <c r="B438" i="53"/>
  <c r="B450" i="53"/>
  <c r="B462" i="53"/>
  <c r="B474" i="53"/>
  <c r="B486" i="53"/>
  <c r="B498" i="53"/>
  <c r="B510" i="53"/>
  <c r="B522" i="53"/>
  <c r="B534" i="53"/>
  <c r="B546" i="53"/>
  <c r="B558" i="53"/>
  <c r="B133" i="53"/>
  <c r="B107" i="53"/>
  <c r="B119" i="53"/>
  <c r="B72" i="53"/>
  <c r="U110" i="73" s="1"/>
  <c r="B7" i="53"/>
  <c r="A10" i="55" s="1"/>
  <c r="B19" i="53"/>
  <c r="A21" i="55" s="1"/>
  <c r="B31" i="53"/>
  <c r="U105" i="73" s="1"/>
  <c r="B43" i="53"/>
  <c r="U100" i="73" s="1"/>
  <c r="B395" i="53"/>
  <c r="B684" i="53"/>
  <c r="B11" i="100" s="1"/>
  <c r="B572" i="53"/>
  <c r="B180" i="53"/>
  <c r="AC39" i="73" s="1"/>
  <c r="B192" i="53"/>
  <c r="B216" i="53"/>
  <c r="B228" i="53"/>
  <c r="AO3" i="51" s="1"/>
  <c r="B252" i="53"/>
  <c r="B300" i="53"/>
  <c r="B24" i="100" s="1"/>
  <c r="B348" i="53"/>
  <c r="B384" i="53"/>
  <c r="B432" i="53"/>
  <c r="B528" i="53"/>
  <c r="B564" i="53"/>
  <c r="X4" i="55" s="1"/>
  <c r="X55" i="91" s="1"/>
  <c r="B113" i="53"/>
  <c r="B689" i="53"/>
  <c r="B25" i="100" s="1"/>
  <c r="B668" i="53"/>
  <c r="B654" i="53"/>
  <c r="B641" i="53"/>
  <c r="B629" i="53"/>
  <c r="M1" i="52" s="1"/>
  <c r="B617" i="53"/>
  <c r="B603" i="53"/>
  <c r="B590" i="53"/>
  <c r="B577" i="53"/>
  <c r="B175" i="53"/>
  <c r="B187" i="53"/>
  <c r="B199" i="53"/>
  <c r="B211" i="53"/>
  <c r="B223" i="53"/>
  <c r="B235" i="53"/>
  <c r="B247" i="53"/>
  <c r="B259" i="53"/>
  <c r="B271" i="53"/>
  <c r="B283" i="53"/>
  <c r="B295" i="53"/>
  <c r="B307" i="53"/>
  <c r="B319" i="53"/>
  <c r="AM51" i="73" s="1"/>
  <c r="B331" i="53"/>
  <c r="B19" i="100" s="1"/>
  <c r="B343" i="53"/>
  <c r="B355" i="53"/>
  <c r="B367" i="53"/>
  <c r="B379" i="53"/>
  <c r="B391" i="53"/>
  <c r="B403" i="53"/>
  <c r="B415" i="53"/>
  <c r="B427" i="53"/>
  <c r="B439" i="53"/>
  <c r="B451" i="53"/>
  <c r="B463" i="53"/>
  <c r="B475" i="53"/>
  <c r="B487" i="53"/>
  <c r="B499" i="53"/>
  <c r="B511" i="53"/>
  <c r="B523" i="53"/>
  <c r="B535" i="53"/>
  <c r="B547" i="53"/>
  <c r="B559" i="53"/>
  <c r="B131" i="53"/>
  <c r="B108" i="53"/>
  <c r="B120" i="53"/>
  <c r="B71" i="53"/>
  <c r="U109" i="73" s="1"/>
  <c r="B8" i="53"/>
  <c r="A4" i="55" s="1"/>
  <c r="B20" i="53"/>
  <c r="A22" i="55" s="1"/>
  <c r="B44" i="53"/>
  <c r="U101" i="73" s="1"/>
  <c r="B251" i="53"/>
  <c r="B503" i="53"/>
  <c r="B563" i="53"/>
  <c r="X3" i="55" s="1"/>
  <c r="X54" i="91" s="1"/>
  <c r="B112" i="53"/>
  <c r="B55" i="53"/>
  <c r="A16" i="55" s="1"/>
  <c r="B36" i="53"/>
  <c r="U93" i="73" s="1"/>
  <c r="B276" i="53"/>
  <c r="B492" i="53"/>
  <c r="B37" i="53"/>
  <c r="U92" i="73" s="1"/>
  <c r="B290" i="53"/>
  <c r="B688" i="53"/>
  <c r="B666" i="53"/>
  <c r="B653" i="53"/>
  <c r="B640" i="53"/>
  <c r="B628" i="53"/>
  <c r="K1" i="52" s="1"/>
  <c r="B616" i="53"/>
  <c r="B602" i="53"/>
  <c r="B589" i="53"/>
  <c r="B576" i="53"/>
  <c r="B176" i="53"/>
  <c r="B188" i="53"/>
  <c r="B200" i="53"/>
  <c r="B212" i="53"/>
  <c r="B224" i="53"/>
  <c r="B236" i="53"/>
  <c r="B248" i="53"/>
  <c r="B260" i="53"/>
  <c r="B272" i="53"/>
  <c r="B284" i="53"/>
  <c r="B296" i="53"/>
  <c r="B308" i="53"/>
  <c r="B14" i="97" s="1"/>
  <c r="B320" i="53"/>
  <c r="AM50" i="73" s="1"/>
  <c r="B332" i="53"/>
  <c r="B344" i="53"/>
  <c r="B356" i="53"/>
  <c r="B368" i="53"/>
  <c r="B380" i="53"/>
  <c r="B392" i="53"/>
  <c r="B404" i="53"/>
  <c r="B416" i="53"/>
  <c r="B428" i="53"/>
  <c r="B440" i="53"/>
  <c r="B452" i="53"/>
  <c r="B464" i="53"/>
  <c r="B476" i="53"/>
  <c r="B488" i="53"/>
  <c r="B500" i="53"/>
  <c r="B512" i="53"/>
  <c r="B524" i="53"/>
  <c r="B536" i="53"/>
  <c r="B548" i="53"/>
  <c r="B560" i="53"/>
  <c r="B130" i="53"/>
  <c r="B109" i="53"/>
  <c r="B121" i="53"/>
  <c r="B17" i="81"/>
  <c r="B70" i="53"/>
  <c r="A12" i="55" s="1"/>
  <c r="B9" i="53"/>
  <c r="A5" i="55" s="1"/>
  <c r="B21" i="53"/>
  <c r="A23" i="55" s="1"/>
  <c r="B45" i="53"/>
  <c r="A24" i="55" s="1"/>
  <c r="B455" i="53"/>
  <c r="B24" i="53"/>
  <c r="U98" i="73" s="1"/>
  <c r="B624" i="53"/>
  <c r="B312" i="53"/>
  <c r="B468" i="53"/>
  <c r="B302" i="53"/>
  <c r="B386" i="53"/>
  <c r="B422" i="53"/>
  <c r="B482" i="53"/>
  <c r="B554" i="53"/>
  <c r="C45" i="52" s="1"/>
  <c r="B58" i="53"/>
  <c r="U87" i="73" s="1"/>
  <c r="B687" i="53"/>
  <c r="B22" i="100" s="1"/>
  <c r="B665" i="53"/>
  <c r="B651" i="53"/>
  <c r="B639" i="53"/>
  <c r="B627" i="53"/>
  <c r="D96" i="51" s="1"/>
  <c r="B615" i="53"/>
  <c r="B601" i="53"/>
  <c r="B587" i="53"/>
  <c r="B575" i="53"/>
  <c r="S13" i="91" s="1"/>
  <c r="B177" i="53"/>
  <c r="B189" i="53"/>
  <c r="B201" i="53"/>
  <c r="B213" i="53"/>
  <c r="B225" i="53"/>
  <c r="B237" i="53"/>
  <c r="B249" i="53"/>
  <c r="B5" i="71" s="1"/>
  <c r="B261" i="53"/>
  <c r="B273" i="53"/>
  <c r="B285" i="53"/>
  <c r="B297" i="53"/>
  <c r="B309" i="53"/>
  <c r="Q14" i="97" s="1"/>
  <c r="B321" i="53"/>
  <c r="S28" i="73" s="1"/>
  <c r="B333" i="53"/>
  <c r="B345" i="53"/>
  <c r="B357" i="53"/>
  <c r="B369" i="53"/>
  <c r="B381" i="53"/>
  <c r="B393" i="53"/>
  <c r="B405" i="53"/>
  <c r="B417" i="53"/>
  <c r="B429" i="53"/>
  <c r="B441" i="53"/>
  <c r="B453" i="53"/>
  <c r="B465" i="53"/>
  <c r="B477" i="53"/>
  <c r="B489" i="53"/>
  <c r="B501" i="53"/>
  <c r="B513" i="53"/>
  <c r="B525" i="53"/>
  <c r="B537" i="53"/>
  <c r="B549" i="53"/>
  <c r="B561" i="53"/>
  <c r="I13" i="81" s="1"/>
  <c r="B145" i="53"/>
  <c r="B129" i="53"/>
  <c r="B110" i="53"/>
  <c r="B122" i="53"/>
  <c r="B69" i="53"/>
  <c r="B10" i="53"/>
  <c r="B22" i="53"/>
  <c r="A25" i="55" s="1"/>
  <c r="B34" i="53"/>
  <c r="A36" i="50" s="1"/>
  <c r="B46" i="53"/>
  <c r="U102" i="73" s="1"/>
  <c r="B47" i="53"/>
  <c r="U103" i="73" s="1"/>
  <c r="B347" i="53"/>
  <c r="B127" i="53"/>
  <c r="B100" i="51" s="1"/>
  <c r="B12" i="53"/>
  <c r="A7" i="55" s="1"/>
  <c r="B662" i="53"/>
  <c r="B204" i="53"/>
  <c r="B264" i="53"/>
  <c r="B360" i="53"/>
  <c r="B408" i="53"/>
  <c r="B504" i="53"/>
  <c r="B56" i="53"/>
  <c r="U99" i="73" s="1"/>
  <c r="B326" i="53"/>
  <c r="AC22" i="73" s="1"/>
  <c r="B410" i="53"/>
  <c r="B434" i="53"/>
  <c r="B494" i="53"/>
  <c r="B52" i="53"/>
  <c r="U84" i="73" s="1"/>
  <c r="B686" i="53"/>
  <c r="B664" i="53"/>
  <c r="B650" i="53"/>
  <c r="B638" i="53"/>
  <c r="B626" i="53"/>
  <c r="B614" i="53"/>
  <c r="B600" i="53"/>
  <c r="B586" i="53"/>
  <c r="B574" i="53"/>
  <c r="B178" i="53"/>
  <c r="B190" i="53"/>
  <c r="B202" i="53"/>
  <c r="B214" i="53"/>
  <c r="B226" i="53"/>
  <c r="B238" i="53"/>
  <c r="B250" i="53"/>
  <c r="B7" i="71" s="1"/>
  <c r="B262" i="53"/>
  <c r="B274" i="53"/>
  <c r="B286" i="53"/>
  <c r="B298" i="53"/>
  <c r="B310" i="53"/>
  <c r="K2" i="21" s="1"/>
  <c r="B322" i="53"/>
  <c r="S30" i="73" s="1"/>
  <c r="B334" i="53"/>
  <c r="B346" i="53"/>
  <c r="B358" i="53"/>
  <c r="B370" i="53"/>
  <c r="B382" i="53"/>
  <c r="B394" i="53"/>
  <c r="B406" i="53"/>
  <c r="B418" i="53"/>
  <c r="B430" i="53"/>
  <c r="B442" i="53"/>
  <c r="B454" i="53"/>
  <c r="B466" i="53"/>
  <c r="B478" i="53"/>
  <c r="B490" i="53"/>
  <c r="B502" i="53"/>
  <c r="B514" i="53"/>
  <c r="B526" i="53"/>
  <c r="B538" i="53"/>
  <c r="B550" i="53"/>
  <c r="B562" i="53"/>
  <c r="B144" i="53"/>
  <c r="B128" i="53"/>
  <c r="B111" i="53"/>
  <c r="A121" i="51" s="1"/>
  <c r="B123" i="53"/>
  <c r="B54" i="53"/>
  <c r="B11" i="53"/>
  <c r="A6" i="55" s="1"/>
  <c r="B23" i="53"/>
  <c r="A26" i="55" s="1"/>
  <c r="B35" i="53"/>
  <c r="U91" i="73" s="1"/>
  <c r="B597" i="53"/>
  <c r="B324" i="53"/>
  <c r="S34" i="73" s="1"/>
  <c r="B420" i="53"/>
  <c r="B540" i="53"/>
  <c r="B140" i="53"/>
  <c r="B13" i="53"/>
  <c r="B542" i="53"/>
  <c r="B685" i="53"/>
  <c r="B13" i="100" s="1"/>
  <c r="B663" i="53"/>
  <c r="B649" i="53"/>
  <c r="B637" i="53"/>
  <c r="B625" i="53"/>
  <c r="B612" i="53"/>
  <c r="B599" i="53"/>
  <c r="B585" i="53"/>
  <c r="F31" i="52" s="1"/>
  <c r="B573" i="53"/>
  <c r="B179" i="53"/>
  <c r="B191" i="53"/>
  <c r="B203" i="53"/>
  <c r="B215" i="53"/>
  <c r="B227" i="53"/>
  <c r="AO2" i="51" s="1"/>
  <c r="B239" i="53"/>
  <c r="B263" i="53"/>
  <c r="B275" i="53"/>
  <c r="S7" i="73" s="1"/>
  <c r="B287" i="53"/>
  <c r="B299" i="53"/>
  <c r="B311" i="53"/>
  <c r="B21" i="100" s="1"/>
  <c r="B323" i="53"/>
  <c r="S32" i="73" s="1"/>
  <c r="B335" i="53"/>
  <c r="B359" i="53"/>
  <c r="B371" i="53"/>
  <c r="B383" i="53"/>
  <c r="B407" i="53"/>
  <c r="B419" i="53"/>
  <c r="B431" i="53"/>
  <c r="B443" i="53"/>
  <c r="B467" i="53"/>
  <c r="B479" i="53"/>
  <c r="B491" i="53"/>
  <c r="B515" i="53"/>
  <c r="B527" i="53"/>
  <c r="B539" i="53"/>
  <c r="B551" i="53"/>
  <c r="B141" i="53"/>
  <c r="B81" i="53"/>
  <c r="U108" i="73" s="1"/>
  <c r="B48" i="53"/>
  <c r="U104" i="73" s="1"/>
  <c r="B648" i="53"/>
  <c r="B240" i="53"/>
  <c r="B372" i="53"/>
  <c r="B480" i="53"/>
  <c r="B25" i="53"/>
  <c r="B314" i="53"/>
  <c r="B398" i="53"/>
  <c r="B470" i="53"/>
  <c r="B506" i="53"/>
  <c r="B103" i="53"/>
  <c r="B15" i="53"/>
  <c r="A9" i="55" s="1"/>
  <c r="B723" i="53"/>
  <c r="C14" i="96" s="1"/>
  <c r="B683" i="53"/>
  <c r="B10" i="100" s="1"/>
  <c r="B661" i="53"/>
  <c r="B647" i="53"/>
  <c r="B635" i="53"/>
  <c r="B623" i="53"/>
  <c r="B610" i="53"/>
  <c r="B596" i="53"/>
  <c r="B583" i="53"/>
  <c r="E62" i="52" s="1"/>
  <c r="B571" i="53"/>
  <c r="B181" i="53"/>
  <c r="B193" i="53"/>
  <c r="B205" i="53"/>
  <c r="B217" i="53"/>
  <c r="B229" i="53"/>
  <c r="B241" i="53"/>
  <c r="B253" i="53"/>
  <c r="B265" i="53"/>
  <c r="B277" i="53"/>
  <c r="B289" i="53"/>
  <c r="B301" i="53"/>
  <c r="B18" i="100" s="1"/>
  <c r="B313" i="53"/>
  <c r="B325" i="53"/>
  <c r="AG22" i="73" s="1"/>
  <c r="B337" i="53"/>
  <c r="B349" i="53"/>
  <c r="B361" i="53"/>
  <c r="B373" i="53"/>
  <c r="B385" i="53"/>
  <c r="B397" i="53"/>
  <c r="B409" i="53"/>
  <c r="B421" i="53"/>
  <c r="B433" i="53"/>
  <c r="B445" i="53"/>
  <c r="B457" i="53"/>
  <c r="B469" i="53"/>
  <c r="B481" i="53"/>
  <c r="B493" i="53"/>
  <c r="B505" i="53"/>
  <c r="B517" i="53"/>
  <c r="B529" i="53"/>
  <c r="B541" i="53"/>
  <c r="B553" i="53"/>
  <c r="B565" i="53"/>
  <c r="X5" i="55" s="1"/>
  <c r="X56" i="91" s="1"/>
  <c r="B139" i="53"/>
  <c r="B106" i="51" s="1"/>
  <c r="B125" i="53"/>
  <c r="B114" i="53"/>
  <c r="B95" i="53"/>
  <c r="V12" i="96" s="1"/>
  <c r="B57" i="53"/>
  <c r="U106" i="73" s="1"/>
  <c r="B14" i="53"/>
  <c r="A8" i="55" s="1"/>
  <c r="B26" i="53"/>
  <c r="A28" i="55" s="1"/>
  <c r="B38" i="53"/>
  <c r="U94" i="73" s="1"/>
  <c r="B50" i="53"/>
  <c r="U88" i="73" s="1"/>
  <c r="B682" i="53"/>
  <c r="B9" i="100" s="1"/>
  <c r="B660" i="53"/>
  <c r="B646" i="53"/>
  <c r="B634" i="53"/>
  <c r="W1" i="52" s="1"/>
  <c r="B622" i="53"/>
  <c r="B609" i="53"/>
  <c r="B595" i="53"/>
  <c r="B582" i="53"/>
  <c r="E9" i="52" s="1"/>
  <c r="B170" i="53"/>
  <c r="B182" i="53"/>
  <c r="B194" i="53"/>
  <c r="B206" i="53"/>
  <c r="B218" i="53"/>
  <c r="C28" i="81" s="1"/>
  <c r="B230" i="53"/>
  <c r="B242" i="53"/>
  <c r="B254" i="53"/>
  <c r="B266" i="53"/>
  <c r="B278" i="53"/>
  <c r="P2" i="73" s="1"/>
  <c r="B566" i="53"/>
  <c r="B362" i="53"/>
  <c r="AC45" i="73"/>
  <c r="AA37" i="73"/>
  <c r="W35" i="80"/>
  <c r="U34" i="80"/>
  <c r="W34" i="80" s="1"/>
  <c r="AE4" i="104"/>
  <c r="B7" i="100"/>
  <c r="B5" i="100"/>
  <c r="AF45" i="73"/>
  <c r="AE45" i="73"/>
  <c r="U59" i="73"/>
  <c r="F16" i="79"/>
  <c r="S13" i="32"/>
  <c r="U66" i="73"/>
  <c r="A52" i="79"/>
  <c r="U1" i="52"/>
  <c r="Q56" i="79"/>
  <c r="A31" i="79"/>
  <c r="B99" i="51"/>
  <c r="B103" i="51"/>
  <c r="U95" i="73"/>
  <c r="V32" i="79"/>
  <c r="B37" i="21"/>
  <c r="A13" i="79"/>
  <c r="AW16" i="32"/>
  <c r="AW15" i="32"/>
  <c r="AJ37" i="32"/>
  <c r="AJ38" i="32"/>
  <c r="AJ40" i="32"/>
  <c r="AJ39" i="32"/>
  <c r="AD45" i="73"/>
  <c r="AK29" i="73" l="1"/>
  <c r="AC28" i="73" s="1"/>
  <c r="AC200" i="99"/>
  <c r="AC164" i="99"/>
  <c r="AC128" i="99"/>
  <c r="AC20" i="99"/>
  <c r="AC56" i="99"/>
  <c r="AC92" i="99"/>
  <c r="AP3" i="51"/>
  <c r="AO5" i="51"/>
  <c r="AO4" i="51"/>
  <c r="AP2" i="51"/>
  <c r="U64" i="73"/>
  <c r="U90" i="73"/>
  <c r="DJ6" i="51"/>
  <c r="DJ8" i="51"/>
  <c r="DJ10" i="51"/>
  <c r="DI10" i="51"/>
  <c r="DI9" i="51"/>
  <c r="DI6" i="51"/>
  <c r="DH10" i="51"/>
  <c r="DH8" i="51"/>
  <c r="DH6" i="51"/>
  <c r="H23" i="32"/>
  <c r="H23" i="95"/>
  <c r="H23" i="94"/>
  <c r="H23" i="93"/>
  <c r="H23" i="92"/>
  <c r="H23" i="91"/>
  <c r="U70" i="73"/>
  <c r="U58" i="73"/>
  <c r="U78" i="73"/>
  <c r="U71" i="73"/>
  <c r="U83" i="73"/>
  <c r="U76" i="73"/>
  <c r="U72" i="73"/>
  <c r="U73" i="73"/>
  <c r="U80" i="73"/>
  <c r="U86" i="73"/>
  <c r="U60" i="73"/>
  <c r="U79" i="73"/>
  <c r="U63" i="73"/>
  <c r="U61" i="73"/>
  <c r="U85" i="73"/>
  <c r="U82" i="73"/>
  <c r="B24" i="95"/>
  <c r="B24" i="91"/>
  <c r="B24" i="92"/>
  <c r="B24" i="94"/>
  <c r="B24" i="93"/>
  <c r="H65" i="93"/>
  <c r="H65" i="92"/>
  <c r="H65" i="95"/>
  <c r="H65" i="91"/>
  <c r="H65" i="94"/>
  <c r="AC8" i="92"/>
  <c r="AC24" i="91"/>
  <c r="AC8" i="95"/>
  <c r="AC8" i="91"/>
  <c r="AC24" i="94"/>
  <c r="AC24" i="93"/>
  <c r="AC8" i="94"/>
  <c r="AC8" i="93"/>
  <c r="AC24" i="92"/>
  <c r="AC24" i="95"/>
  <c r="S24" i="91"/>
  <c r="S24" i="94"/>
  <c r="S24" i="93"/>
  <c r="S24" i="92"/>
  <c r="S24" i="95"/>
  <c r="B12" i="93"/>
  <c r="B12" i="92"/>
  <c r="B12" i="91"/>
  <c r="B12" i="95"/>
  <c r="B12" i="94"/>
  <c r="AO31" i="91"/>
  <c r="AO31" i="95"/>
  <c r="AO31" i="94"/>
  <c r="AO31" i="93"/>
  <c r="AO31" i="92"/>
  <c r="H66" i="92"/>
  <c r="H66" i="95"/>
  <c r="H66" i="91"/>
  <c r="H66" i="93"/>
  <c r="H66" i="94"/>
  <c r="H70" i="93"/>
  <c r="H70" i="92"/>
  <c r="H70" i="91"/>
  <c r="H70" i="95"/>
  <c r="H70" i="94"/>
  <c r="H71" i="93"/>
  <c r="H71" i="92"/>
  <c r="H71" i="95"/>
  <c r="H71" i="91"/>
  <c r="H71" i="94"/>
  <c r="B33" i="94"/>
  <c r="B33" i="93"/>
  <c r="B33" i="92"/>
  <c r="B33" i="91"/>
  <c r="B33" i="95"/>
  <c r="B25" i="93"/>
  <c r="B25" i="92"/>
  <c r="B25" i="95"/>
  <c r="B25" i="91"/>
  <c r="B25" i="94"/>
  <c r="AM14" i="95"/>
  <c r="AF9" i="95"/>
  <c r="AF25" i="93"/>
  <c r="AF9" i="92"/>
  <c r="AD14" i="95"/>
  <c r="AM14" i="91"/>
  <c r="AF9" i="91"/>
  <c r="AF25" i="94"/>
  <c r="AD14" i="91"/>
  <c r="AF25" i="92"/>
  <c r="AM14" i="94"/>
  <c r="AF9" i="94"/>
  <c r="AF25" i="91"/>
  <c r="AD14" i="92"/>
  <c r="AF25" i="95"/>
  <c r="AD14" i="94"/>
  <c r="AF9" i="93"/>
  <c r="AM14" i="93"/>
  <c r="AD14" i="93"/>
  <c r="AM14" i="92"/>
  <c r="B21" i="94"/>
  <c r="B21" i="92"/>
  <c r="B21" i="93"/>
  <c r="B21" i="95"/>
  <c r="B21" i="91"/>
  <c r="B11" i="94"/>
  <c r="B11" i="93"/>
  <c r="B11" i="92"/>
  <c r="B11" i="95"/>
  <c r="B11" i="91"/>
  <c r="AE10" i="94"/>
  <c r="AE10" i="92"/>
  <c r="AE10" i="91"/>
  <c r="AE10" i="93"/>
  <c r="AE10" i="95"/>
  <c r="B27" i="92"/>
  <c r="B27" i="95"/>
  <c r="B27" i="93"/>
  <c r="B27" i="91"/>
  <c r="B27" i="94"/>
  <c r="B8" i="92"/>
  <c r="B8" i="95"/>
  <c r="B8" i="91"/>
  <c r="B8" i="94"/>
  <c r="B8" i="93"/>
  <c r="K61" i="93"/>
  <c r="K61" i="92"/>
  <c r="K61" i="95"/>
  <c r="K61" i="91"/>
  <c r="K61" i="94"/>
  <c r="U77" i="73"/>
  <c r="H67" i="95"/>
  <c r="H67" i="91"/>
  <c r="H67" i="94"/>
  <c r="H67" i="92"/>
  <c r="H67" i="93"/>
  <c r="B26" i="92"/>
  <c r="B26" i="93"/>
  <c r="B26" i="95"/>
  <c r="B26" i="91"/>
  <c r="B26" i="94"/>
  <c r="A3" i="55"/>
  <c r="AT13" i="92"/>
  <c r="AT13" i="95"/>
  <c r="AT13" i="91"/>
  <c r="AT13" i="94"/>
  <c r="AT13" i="93"/>
  <c r="H61" i="93"/>
  <c r="H61" i="92"/>
  <c r="H61" i="95"/>
  <c r="H61" i="91"/>
  <c r="H61" i="94"/>
  <c r="E8" i="92"/>
  <c r="E8" i="95"/>
  <c r="E8" i="91"/>
  <c r="E8" i="93"/>
  <c r="E8" i="94"/>
  <c r="B14" i="92"/>
  <c r="B14" i="95"/>
  <c r="B14" i="93"/>
  <c r="B17" i="93"/>
  <c r="B17" i="95"/>
  <c r="B14" i="91"/>
  <c r="B17" i="94"/>
  <c r="B17" i="91"/>
  <c r="B14" i="94"/>
  <c r="B17" i="92"/>
  <c r="B7" i="91"/>
  <c r="B7" i="93"/>
  <c r="B7" i="92"/>
  <c r="B7" i="95"/>
  <c r="B7" i="94"/>
  <c r="AF30" i="91"/>
  <c r="AF30" i="94"/>
  <c r="AF30" i="93"/>
  <c r="AF30" i="92"/>
  <c r="AF30" i="95"/>
  <c r="S7" i="92"/>
  <c r="S7" i="93"/>
  <c r="S7" i="95"/>
  <c r="S7" i="91"/>
  <c r="S7" i="94"/>
  <c r="B28" i="92"/>
  <c r="B28" i="95"/>
  <c r="B28" i="91"/>
  <c r="B28" i="94"/>
  <c r="B28" i="93"/>
  <c r="B15" i="91"/>
  <c r="B15" i="94"/>
  <c r="B15" i="93"/>
  <c r="B15" i="92"/>
  <c r="B15" i="95"/>
  <c r="H68" i="94"/>
  <c r="H68" i="91"/>
  <c r="H68" i="93"/>
  <c r="H68" i="92"/>
  <c r="H68" i="95"/>
  <c r="AT37" i="93"/>
  <c r="AT37" i="91"/>
  <c r="AT37" i="92"/>
  <c r="AT37" i="95"/>
  <c r="AT37" i="94"/>
  <c r="D29" i="92"/>
  <c r="D29" i="95"/>
  <c r="D29" i="91"/>
  <c r="D29" i="94"/>
  <c r="D29" i="93"/>
  <c r="AR19" i="92"/>
  <c r="AR19" i="95"/>
  <c r="AR19" i="91"/>
  <c r="AR19" i="94"/>
  <c r="AR19" i="93"/>
  <c r="AL19" i="92"/>
  <c r="AL19" i="95"/>
  <c r="AL19" i="91"/>
  <c r="AL19" i="94"/>
  <c r="AL19" i="93"/>
  <c r="B5" i="95"/>
  <c r="V5" i="94"/>
  <c r="J5" i="91"/>
  <c r="R5" i="91"/>
  <c r="R5" i="94"/>
  <c r="F5" i="91"/>
  <c r="B5" i="91"/>
  <c r="N5" i="92"/>
  <c r="J5" i="95"/>
  <c r="N5" i="94"/>
  <c r="A2" i="95"/>
  <c r="D148" i="71" s="1"/>
  <c r="J5" i="94"/>
  <c r="V5" i="93"/>
  <c r="F5" i="94"/>
  <c r="R5" i="93"/>
  <c r="B5" i="94"/>
  <c r="N5" i="93"/>
  <c r="V5" i="92"/>
  <c r="N5" i="91"/>
  <c r="J5" i="93"/>
  <c r="R5" i="92"/>
  <c r="V5" i="95"/>
  <c r="F5" i="93"/>
  <c r="A2" i="93"/>
  <c r="D94" i="71" s="1"/>
  <c r="B5" i="92"/>
  <c r="R5" i="95"/>
  <c r="B5" i="93"/>
  <c r="J5" i="92"/>
  <c r="A2" i="94"/>
  <c r="D121" i="71" s="1"/>
  <c r="A2" i="92"/>
  <c r="D67" i="71" s="1"/>
  <c r="N5" i="95"/>
  <c r="F5" i="92"/>
  <c r="V5" i="91"/>
  <c r="A2" i="91"/>
  <c r="D40" i="71" s="1"/>
  <c r="F5" i="95"/>
  <c r="B32" i="94"/>
  <c r="B32" i="93"/>
  <c r="B32" i="92"/>
  <c r="B32" i="91"/>
  <c r="B32" i="95"/>
  <c r="H69" i="93"/>
  <c r="H69" i="92"/>
  <c r="H69" i="95"/>
  <c r="H69" i="91"/>
  <c r="H69" i="94"/>
  <c r="W37" i="93" a="1"/>
  <c r="W37" i="93" s="1"/>
  <c r="W37" i="92" a="1"/>
  <c r="W37" i="92" s="1"/>
  <c r="W37" i="95" a="1"/>
  <c r="W37" i="95" s="1"/>
  <c r="W37" i="91" a="1"/>
  <c r="W37" i="91" s="1"/>
  <c r="W37" i="94" a="1"/>
  <c r="W37" i="94" s="1"/>
  <c r="AP2" i="93"/>
  <c r="AP2" i="92"/>
  <c r="AP2" i="95"/>
  <c r="AP2" i="91"/>
  <c r="AP2" i="94"/>
  <c r="B30" i="95"/>
  <c r="B30" i="91"/>
  <c r="B30" i="94"/>
  <c r="B30" i="93"/>
  <c r="B30" i="92"/>
  <c r="B13" i="93"/>
  <c r="B13" i="94"/>
  <c r="B13" i="92"/>
  <c r="B13" i="91"/>
  <c r="B13" i="95"/>
  <c r="U69" i="73"/>
  <c r="A15" i="55"/>
  <c r="U65" i="73"/>
  <c r="A11" i="55"/>
  <c r="U62" i="73"/>
  <c r="A30" i="50"/>
  <c r="A30" i="55"/>
  <c r="U67" i="73"/>
  <c r="A13" i="55"/>
  <c r="U68" i="73"/>
  <c r="U74" i="73"/>
  <c r="A20" i="55"/>
  <c r="U81" i="73"/>
  <c r="A27" i="55"/>
  <c r="AT37" i="32"/>
  <c r="W37" i="32" a="1"/>
  <c r="W37" i="32" s="1"/>
  <c r="D29" i="32"/>
  <c r="U57" i="73"/>
  <c r="A18" i="79"/>
  <c r="U75" i="73"/>
  <c r="C15" i="73"/>
  <c r="B9" i="71"/>
  <c r="AK33" i="73"/>
  <c r="AC32" i="73" s="1"/>
  <c r="AL28" i="73"/>
  <c r="AL22" i="73"/>
  <c r="C32" i="96"/>
  <c r="B17" i="100"/>
  <c r="A13" i="63"/>
  <c r="A13" i="61"/>
  <c r="A13" i="57"/>
  <c r="A13" i="59"/>
  <c r="A13" i="50"/>
  <c r="C103" i="51"/>
  <c r="A116" i="51"/>
  <c r="C102" i="51"/>
  <c r="A117" i="51"/>
  <c r="X34" i="80"/>
  <c r="C11" i="73"/>
  <c r="B6" i="71"/>
  <c r="E17" i="80"/>
  <c r="M7" i="99" s="1"/>
  <c r="C13" i="73"/>
  <c r="E13" i="80"/>
  <c r="M5" i="99" s="1"/>
  <c r="C9" i="73"/>
  <c r="B101" i="51"/>
  <c r="A124" i="51"/>
  <c r="R34" i="80"/>
  <c r="R31" i="100"/>
  <c r="A36" i="55"/>
  <c r="A39" i="59"/>
  <c r="A39" i="63"/>
  <c r="A39" i="61"/>
  <c r="A39" i="57"/>
  <c r="A34" i="59"/>
  <c r="A34" i="57"/>
  <c r="A33" i="55"/>
  <c r="A34" i="63"/>
  <c r="A34" i="61"/>
  <c r="A58" i="59"/>
  <c r="A58" i="57"/>
  <c r="A58" i="63"/>
  <c r="A58" i="61"/>
  <c r="A40" i="63"/>
  <c r="A37" i="55"/>
  <c r="A40" i="59"/>
  <c r="A40" i="61"/>
  <c r="A40" i="57"/>
  <c r="A29" i="63"/>
  <c r="A29" i="61"/>
  <c r="A29" i="59"/>
  <c r="A29" i="57"/>
  <c r="A4" i="59"/>
  <c r="A4" i="63"/>
  <c r="A4" i="61"/>
  <c r="A4" i="57"/>
  <c r="A4" i="50"/>
  <c r="A14" i="57"/>
  <c r="A14" i="63"/>
  <c r="A14" i="50"/>
  <c r="A14" i="61"/>
  <c r="A14" i="59"/>
  <c r="A6" i="61"/>
  <c r="A6" i="59"/>
  <c r="A6" i="57"/>
  <c r="A6" i="63"/>
  <c r="A6" i="50"/>
  <c r="A36" i="57"/>
  <c r="A36" i="61"/>
  <c r="A36" i="63"/>
  <c r="A35" i="55"/>
  <c r="A36" i="59"/>
  <c r="A17" i="63"/>
  <c r="A17" i="61"/>
  <c r="A17" i="50"/>
  <c r="A17" i="59"/>
  <c r="A17" i="57"/>
  <c r="A43" i="61"/>
  <c r="A43" i="57"/>
  <c r="A43" i="59"/>
  <c r="A43" i="63"/>
  <c r="A40" i="55"/>
  <c r="A12" i="57"/>
  <c r="A12" i="63"/>
  <c r="A12" i="50"/>
  <c r="A12" i="61"/>
  <c r="A12" i="59"/>
  <c r="A7" i="61"/>
  <c r="A7" i="59"/>
  <c r="A7" i="57"/>
  <c r="A7" i="50"/>
  <c r="A7" i="63"/>
  <c r="A46" i="59"/>
  <c r="A46" i="57"/>
  <c r="A43" i="55"/>
  <c r="A46" i="63"/>
  <c r="A46" i="61"/>
  <c r="A11" i="57"/>
  <c r="A11" i="50"/>
  <c r="A11" i="63"/>
  <c r="A11" i="61"/>
  <c r="A11" i="59"/>
  <c r="A33" i="59"/>
  <c r="A33" i="63"/>
  <c r="A33" i="57"/>
  <c r="A33" i="61"/>
  <c r="A49" i="57"/>
  <c r="A49" i="61"/>
  <c r="A49" i="63"/>
  <c r="A46" i="55"/>
  <c r="A49" i="59"/>
  <c r="A56" i="55"/>
  <c r="A63" i="63"/>
  <c r="A63" i="61"/>
  <c r="A63" i="59"/>
  <c r="A63" i="57"/>
  <c r="A56" i="50"/>
  <c r="A44" i="61"/>
  <c r="A44" i="59"/>
  <c r="A44" i="63"/>
  <c r="A44" i="57"/>
  <c r="A41" i="55"/>
  <c r="B48" i="73"/>
  <c r="A10" i="59"/>
  <c r="A10" i="57"/>
  <c r="A10" i="63"/>
  <c r="A10" i="50"/>
  <c r="A10" i="61"/>
  <c r="A27" i="50"/>
  <c r="A27" i="63"/>
  <c r="A27" i="59"/>
  <c r="A27" i="61"/>
  <c r="A27" i="57"/>
  <c r="BW3" i="51"/>
  <c r="A54" i="50"/>
  <c r="A61" i="57"/>
  <c r="A61" i="63"/>
  <c r="A54" i="55"/>
  <c r="A61" i="61"/>
  <c r="A61" i="59"/>
  <c r="BW2" i="51"/>
  <c r="A23" i="59"/>
  <c r="A23" i="57"/>
  <c r="A23" i="63"/>
  <c r="A23" i="50"/>
  <c r="A23" i="61"/>
  <c r="A25" i="57"/>
  <c r="A25" i="61"/>
  <c r="A25" i="63"/>
  <c r="A25" i="50"/>
  <c r="A25" i="59"/>
  <c r="A47" i="59"/>
  <c r="A47" i="57"/>
  <c r="A44" i="55"/>
  <c r="A47" i="63"/>
  <c r="A47" i="61"/>
  <c r="A9" i="63"/>
  <c r="A9" i="59"/>
  <c r="A9" i="57"/>
  <c r="A9" i="50"/>
  <c r="A9" i="61"/>
  <c r="A16" i="63"/>
  <c r="A16" i="59"/>
  <c r="A16" i="61"/>
  <c r="A16" i="57"/>
  <c r="A41" i="63"/>
  <c r="A38" i="55"/>
  <c r="A41" i="61"/>
  <c r="A41" i="59"/>
  <c r="A41" i="57"/>
  <c r="A50" i="57"/>
  <c r="A50" i="63"/>
  <c r="A47" i="55"/>
  <c r="A50" i="61"/>
  <c r="A50" i="59"/>
  <c r="A53" i="63"/>
  <c r="A50" i="55"/>
  <c r="A53" i="61"/>
  <c r="A53" i="59"/>
  <c r="A53" i="57"/>
  <c r="A56" i="61"/>
  <c r="A56" i="59"/>
  <c r="A56" i="57"/>
  <c r="A56" i="63"/>
  <c r="A32" i="61"/>
  <c r="A32" i="59"/>
  <c r="A32" i="57"/>
  <c r="A32" i="63"/>
  <c r="A64" i="59"/>
  <c r="A64" i="63"/>
  <c r="A57" i="55"/>
  <c r="A64" i="61"/>
  <c r="A64" i="57"/>
  <c r="AJ2" i="73"/>
  <c r="A22" i="59"/>
  <c r="A22" i="57"/>
  <c r="A22" i="63"/>
  <c r="A22" i="50"/>
  <c r="A22" i="61"/>
  <c r="A19" i="57"/>
  <c r="A19" i="61"/>
  <c r="A19" i="50"/>
  <c r="A19" i="59"/>
  <c r="A19" i="63"/>
  <c r="A42" i="61"/>
  <c r="A42" i="59"/>
  <c r="A42" i="57"/>
  <c r="A42" i="63"/>
  <c r="A39" i="55"/>
  <c r="A65" i="63"/>
  <c r="A58" i="55"/>
  <c r="A65" i="61"/>
  <c r="A65" i="59"/>
  <c r="A65" i="57"/>
  <c r="A30" i="57"/>
  <c r="A30" i="61"/>
  <c r="A30" i="59"/>
  <c r="A30" i="63"/>
  <c r="A8" i="59"/>
  <c r="A8" i="57"/>
  <c r="A8" i="63"/>
  <c r="A8" i="61"/>
  <c r="A8" i="50"/>
  <c r="BW4" i="51"/>
  <c r="A38" i="57"/>
  <c r="A38" i="63"/>
  <c r="A38" i="61"/>
  <c r="A38" i="59"/>
  <c r="A54" i="61"/>
  <c r="A54" i="57"/>
  <c r="A54" i="59"/>
  <c r="A54" i="63"/>
  <c r="A51" i="55"/>
  <c r="A53" i="50"/>
  <c r="A60" i="57"/>
  <c r="A53" i="55"/>
  <c r="A60" i="63"/>
  <c r="A60" i="61"/>
  <c r="A60" i="59"/>
  <c r="A26" i="57"/>
  <c r="A26" i="63"/>
  <c r="A26" i="61"/>
  <c r="A26" i="50"/>
  <c r="A26" i="59"/>
  <c r="A57" i="59"/>
  <c r="A57" i="57"/>
  <c r="A57" i="63"/>
  <c r="A57" i="61"/>
  <c r="A20" i="61"/>
  <c r="A20" i="59"/>
  <c r="A20" i="57"/>
  <c r="A20" i="50"/>
  <c r="A20" i="63"/>
  <c r="A37" i="57"/>
  <c r="A37" i="63"/>
  <c r="A37" i="61"/>
  <c r="A37" i="59"/>
  <c r="A18" i="61"/>
  <c r="A18" i="50"/>
  <c r="A18" i="59"/>
  <c r="A18" i="57"/>
  <c r="A18" i="63"/>
  <c r="A15" i="59"/>
  <c r="A15" i="63"/>
  <c r="A15" i="61"/>
  <c r="A15" i="57"/>
  <c r="A29" i="50"/>
  <c r="A31" i="61"/>
  <c r="A31" i="59"/>
  <c r="A31" i="57"/>
  <c r="A31" i="63"/>
  <c r="A48" i="57"/>
  <c r="A48" i="63"/>
  <c r="A45" i="55"/>
  <c r="A48" i="61"/>
  <c r="A48" i="59"/>
  <c r="A24" i="57"/>
  <c r="A24" i="63"/>
  <c r="A24" i="61"/>
  <c r="A24" i="59"/>
  <c r="A49" i="55"/>
  <c r="A52" i="63"/>
  <c r="A52" i="61"/>
  <c r="A52" i="59"/>
  <c r="A52" i="57"/>
  <c r="A55" i="61"/>
  <c r="A55" i="59"/>
  <c r="A55" i="57"/>
  <c r="A55" i="63"/>
  <c r="A52" i="55"/>
  <c r="A28" i="63"/>
  <c r="A28" i="61"/>
  <c r="A28" i="50"/>
  <c r="A28" i="59"/>
  <c r="A28" i="57"/>
  <c r="A35" i="59"/>
  <c r="A34" i="55"/>
  <c r="A35" i="57"/>
  <c r="A35" i="63"/>
  <c r="A35" i="61"/>
  <c r="BW5" i="51"/>
  <c r="A3" i="63"/>
  <c r="A3" i="61"/>
  <c r="A3" i="59"/>
  <c r="A3" i="57"/>
  <c r="A3" i="50"/>
  <c r="A59" i="59"/>
  <c r="A59" i="57"/>
  <c r="A59" i="63"/>
  <c r="A59" i="61"/>
  <c r="A62" i="57"/>
  <c r="A55" i="55"/>
  <c r="A62" i="63"/>
  <c r="A62" i="61"/>
  <c r="A62" i="59"/>
  <c r="A48" i="55"/>
  <c r="A51" i="63"/>
  <c r="A51" i="61"/>
  <c r="A51" i="59"/>
  <c r="A51" i="57"/>
  <c r="A45" i="59"/>
  <c r="A45" i="63"/>
  <c r="A45" i="57"/>
  <c r="A42" i="55"/>
  <c r="A45" i="61"/>
  <c r="A5" i="63"/>
  <c r="A5" i="61"/>
  <c r="A5" i="59"/>
  <c r="A5" i="57"/>
  <c r="A5" i="50"/>
  <c r="A21" i="50"/>
  <c r="A21" i="59"/>
  <c r="A21" i="57"/>
  <c r="A21" i="63"/>
  <c r="A21" i="61"/>
  <c r="A38" i="97"/>
  <c r="A32" i="50"/>
  <c r="A37" i="50"/>
  <c r="A38" i="50"/>
  <c r="A47" i="50"/>
  <c r="A40" i="50"/>
  <c r="A42" i="50"/>
  <c r="A49" i="50"/>
  <c r="A43" i="50"/>
  <c r="A46" i="50"/>
  <c r="A41" i="50"/>
  <c r="A50" i="50"/>
  <c r="A35" i="50"/>
  <c r="A48" i="50"/>
  <c r="D82" i="53"/>
  <c r="A57" i="50"/>
  <c r="A58" i="50"/>
  <c r="A90" i="51"/>
  <c r="A84" i="51"/>
  <c r="B67" i="44"/>
  <c r="I56" i="73"/>
  <c r="M56" i="73"/>
  <c r="E56" i="73"/>
  <c r="AK31" i="73"/>
  <c r="AC30" i="73" s="1"/>
  <c r="AL30" i="73" s="1"/>
  <c r="CJ7" i="51"/>
  <c r="CJ6" i="51"/>
  <c r="CJ10" i="51"/>
  <c r="CJ9" i="51"/>
  <c r="CJ8" i="51"/>
  <c r="BR2" i="51"/>
  <c r="AB200" i="104"/>
  <c r="AB56" i="104"/>
  <c r="AB164" i="104"/>
  <c r="AB20" i="104"/>
  <c r="AB92" i="104"/>
  <c r="AB128" i="104"/>
  <c r="DE10" i="51"/>
  <c r="DE9" i="51"/>
  <c r="DD9" i="51"/>
  <c r="DC8" i="51"/>
  <c r="DC7" i="51"/>
  <c r="DF10" i="51"/>
  <c r="DE8" i="51"/>
  <c r="DD10" i="51"/>
  <c r="DK10" i="51"/>
  <c r="DL10" i="51"/>
  <c r="DC10" i="51"/>
  <c r="DL9" i="51"/>
  <c r="DK8" i="51"/>
  <c r="DC9" i="51"/>
  <c r="DK9" i="51"/>
  <c r="DF9" i="51"/>
  <c r="B69" i="44"/>
  <c r="B68" i="44"/>
  <c r="A55" i="50"/>
  <c r="B66" i="44"/>
  <c r="B17" i="32"/>
  <c r="BQ2" i="51"/>
  <c r="CZ10" i="51"/>
  <c r="CL10" i="51"/>
  <c r="CO6" i="51"/>
  <c r="CJ5" i="51"/>
  <c r="CZ8" i="51"/>
  <c r="CU6" i="51"/>
  <c r="CO9" i="51"/>
  <c r="CO10" i="51"/>
  <c r="CY10" i="51"/>
  <c r="CK10" i="51"/>
  <c r="CN6" i="51"/>
  <c r="CI5" i="51"/>
  <c r="CY9" i="51"/>
  <c r="CM6" i="51"/>
  <c r="CN8" i="51"/>
  <c r="CV10" i="51"/>
  <c r="CP8" i="51"/>
  <c r="CM10" i="51"/>
  <c r="CU10" i="51"/>
  <c r="CU9" i="51"/>
  <c r="CV8" i="51"/>
  <c r="CZ6" i="51"/>
  <c r="CL6" i="51"/>
  <c r="CK6" i="51"/>
  <c r="CV6" i="51"/>
  <c r="CP10" i="51"/>
  <c r="CL8" i="51"/>
  <c r="CP6" i="51"/>
  <c r="CY6" i="51"/>
  <c r="CK9" i="51"/>
  <c r="CM9" i="51"/>
  <c r="CN10" i="51"/>
  <c r="DF8" i="51"/>
  <c r="DK7" i="51"/>
  <c r="DE6" i="51"/>
  <c r="DC6" i="51"/>
  <c r="CR9" i="51"/>
  <c r="CR7" i="51"/>
  <c r="DK6" i="51"/>
  <c r="DL7" i="51"/>
  <c r="DD8" i="51"/>
  <c r="DF7" i="51"/>
  <c r="DD6" i="51"/>
  <c r="CT7" i="51"/>
  <c r="CQ8" i="51"/>
  <c r="CR5" i="51"/>
  <c r="DF6" i="51"/>
  <c r="DE7" i="51"/>
  <c r="DE5" i="51"/>
  <c r="DC5" i="51"/>
  <c r="CS5" i="51"/>
  <c r="DD7" i="51"/>
  <c r="DL6" i="51"/>
  <c r="CT9" i="51"/>
  <c r="CT5" i="51"/>
  <c r="CQ5" i="51"/>
  <c r="CS8" i="51"/>
  <c r="DK5" i="51"/>
  <c r="CS7" i="51"/>
  <c r="CQ7" i="51"/>
  <c r="DL8" i="51"/>
  <c r="CT8" i="51"/>
  <c r="CS9" i="51"/>
  <c r="CR8" i="51"/>
  <c r="CS6" i="51"/>
  <c r="CQ6" i="51"/>
  <c r="CR10" i="51"/>
  <c r="CQ10" i="51"/>
  <c r="CT10" i="51"/>
  <c r="CQ9" i="51"/>
  <c r="CR6" i="51"/>
  <c r="CS10" i="51"/>
  <c r="CT6" i="51"/>
  <c r="D45" i="52"/>
  <c r="P26" i="52"/>
  <c r="P23" i="52"/>
  <c r="P20" i="52"/>
  <c r="P17" i="52"/>
  <c r="P14" i="52"/>
  <c r="P11" i="52"/>
  <c r="P8" i="52"/>
  <c r="P27" i="52"/>
  <c r="P24" i="52"/>
  <c r="P21" i="52"/>
  <c r="P18" i="52"/>
  <c r="P15" i="52"/>
  <c r="P12" i="52"/>
  <c r="P9" i="52"/>
  <c r="P65" i="52"/>
  <c r="P62" i="52"/>
  <c r="P59" i="52"/>
  <c r="P56" i="52"/>
  <c r="P19" i="52"/>
  <c r="P13" i="52"/>
  <c r="P60" i="52"/>
  <c r="P36" i="52"/>
  <c r="P58" i="52"/>
  <c r="P53" i="52"/>
  <c r="P51" i="52"/>
  <c r="P44" i="52"/>
  <c r="P42" i="52"/>
  <c r="P35" i="52"/>
  <c r="P33" i="52"/>
  <c r="P7" i="52"/>
  <c r="P63" i="52"/>
  <c r="P55" i="52"/>
  <c r="P46" i="52"/>
  <c r="P37" i="52"/>
  <c r="P3" i="52"/>
  <c r="P25" i="52"/>
  <c r="P38" i="52"/>
  <c r="P22" i="52"/>
  <c r="P50" i="52"/>
  <c r="P48" i="52"/>
  <c r="P41" i="52"/>
  <c r="P39" i="52"/>
  <c r="P32" i="52"/>
  <c r="P30" i="52"/>
  <c r="P47" i="52"/>
  <c r="P57" i="52"/>
  <c r="P16" i="52"/>
  <c r="P10" i="52"/>
  <c r="P52" i="52"/>
  <c r="P43" i="52"/>
  <c r="P34" i="52"/>
  <c r="P4" i="52"/>
  <c r="P66" i="52"/>
  <c r="P54" i="52"/>
  <c r="P45" i="52"/>
  <c r="P29" i="52"/>
  <c r="P64" i="52"/>
  <c r="P61" i="52"/>
  <c r="P49" i="52"/>
  <c r="P40" i="52"/>
  <c r="P31" i="52"/>
  <c r="P5" i="52"/>
  <c r="P2" i="52"/>
  <c r="V63" i="52"/>
  <c r="V58" i="52"/>
  <c r="V53" i="52"/>
  <c r="V44" i="52"/>
  <c r="V35" i="52"/>
  <c r="V3" i="52"/>
  <c r="V65" i="52"/>
  <c r="V27" i="52"/>
  <c r="V41" i="52"/>
  <c r="V32" i="52"/>
  <c r="V66" i="52"/>
  <c r="V60" i="52"/>
  <c r="V25" i="52"/>
  <c r="V23" i="52"/>
  <c r="V10" i="52"/>
  <c r="V29" i="52"/>
  <c r="V9" i="52"/>
  <c r="V55" i="52"/>
  <c r="V48" i="52"/>
  <c r="V46" i="52"/>
  <c r="V39" i="52"/>
  <c r="V37" i="52"/>
  <c r="V30" i="52"/>
  <c r="V18" i="52"/>
  <c r="V16" i="52"/>
  <c r="V12" i="52"/>
  <c r="V15" i="52"/>
  <c r="V57" i="52"/>
  <c r="V50" i="52"/>
  <c r="V14" i="52"/>
  <c r="V8" i="52"/>
  <c r="V26" i="52"/>
  <c r="V13" i="52"/>
  <c r="V4" i="52"/>
  <c r="V22" i="52"/>
  <c r="V20" i="52"/>
  <c r="V62" i="52"/>
  <c r="V54" i="52"/>
  <c r="V52" i="52"/>
  <c r="V45" i="52"/>
  <c r="V43" i="52"/>
  <c r="V36" i="52"/>
  <c r="V34" i="52"/>
  <c r="V56" i="52"/>
  <c r="V19" i="52"/>
  <c r="V59" i="52"/>
  <c r="V24" i="52"/>
  <c r="V5" i="52"/>
  <c r="V47" i="52"/>
  <c r="V38" i="52"/>
  <c r="V2" i="52"/>
  <c r="V7" i="52"/>
  <c r="V64" i="52"/>
  <c r="V61" i="52"/>
  <c r="V51" i="52"/>
  <c r="V49" i="52"/>
  <c r="V42" i="52"/>
  <c r="V40" i="52"/>
  <c r="V33" i="52"/>
  <c r="V31" i="52"/>
  <c r="V17" i="52"/>
  <c r="V11" i="52"/>
  <c r="V21" i="52"/>
  <c r="N65" i="52"/>
  <c r="N62" i="52"/>
  <c r="N64" i="52"/>
  <c r="N61" i="52"/>
  <c r="N49" i="52"/>
  <c r="N40" i="52"/>
  <c r="N31" i="52"/>
  <c r="N17" i="52"/>
  <c r="N15" i="52"/>
  <c r="N11" i="52"/>
  <c r="N9" i="52"/>
  <c r="N5" i="52"/>
  <c r="N2" i="52"/>
  <c r="N46" i="52"/>
  <c r="N37" i="52"/>
  <c r="N21" i="52"/>
  <c r="N19" i="52"/>
  <c r="N13" i="52"/>
  <c r="N4" i="52"/>
  <c r="N24" i="52"/>
  <c r="N58" i="52"/>
  <c r="N53" i="52"/>
  <c r="N51" i="52"/>
  <c r="N44" i="52"/>
  <c r="N42" i="52"/>
  <c r="N35" i="52"/>
  <c r="N33" i="52"/>
  <c r="N7" i="52"/>
  <c r="N23" i="52"/>
  <c r="N55" i="52"/>
  <c r="N3" i="52"/>
  <c r="N63" i="52"/>
  <c r="N60" i="52"/>
  <c r="N27" i="52"/>
  <c r="N25" i="52"/>
  <c r="N50" i="52"/>
  <c r="N48" i="52"/>
  <c r="N41" i="52"/>
  <c r="N39" i="52"/>
  <c r="N32" i="52"/>
  <c r="N30" i="52"/>
  <c r="N18" i="52"/>
  <c r="N14" i="52"/>
  <c r="N12" i="52"/>
  <c r="N57" i="52"/>
  <c r="N20" i="52"/>
  <c r="N16" i="52"/>
  <c r="N10" i="52"/>
  <c r="N8" i="52"/>
  <c r="N66" i="52"/>
  <c r="N22" i="52"/>
  <c r="N59" i="52"/>
  <c r="N52" i="52"/>
  <c r="N43" i="52"/>
  <c r="N34" i="52"/>
  <c r="N56" i="52"/>
  <c r="N54" i="52"/>
  <c r="N47" i="52"/>
  <c r="N45" i="52"/>
  <c r="N38" i="52"/>
  <c r="N36" i="52"/>
  <c r="N29" i="52"/>
  <c r="N26" i="52"/>
  <c r="CD13" i="61"/>
  <c r="CD11" i="61"/>
  <c r="CD13" i="59"/>
  <c r="CD13" i="50"/>
  <c r="CD11" i="59"/>
  <c r="CD11" i="50"/>
  <c r="CD13" i="57"/>
  <c r="CD11" i="57"/>
  <c r="CD13" i="55"/>
  <c r="CD11" i="55"/>
  <c r="CD13" i="63"/>
  <c r="AB32" i="61"/>
  <c r="AB32" i="57"/>
  <c r="AB30" i="57"/>
  <c r="AB30" i="59"/>
  <c r="CD11" i="63"/>
  <c r="AB30" i="61"/>
  <c r="AB30" i="50"/>
  <c r="AB32" i="55"/>
  <c r="AB32" i="59"/>
  <c r="AB32" i="50"/>
  <c r="AB30" i="55"/>
  <c r="AB32" i="63"/>
  <c r="AB30" i="63"/>
  <c r="X27" i="52"/>
  <c r="X24" i="52"/>
  <c r="X21" i="52"/>
  <c r="X18" i="52"/>
  <c r="X15" i="52"/>
  <c r="X12" i="52"/>
  <c r="X9" i="52"/>
  <c r="X25" i="52"/>
  <c r="X22" i="52"/>
  <c r="X19" i="52"/>
  <c r="X16" i="52"/>
  <c r="X13" i="52"/>
  <c r="X10" i="52"/>
  <c r="X7" i="52"/>
  <c r="X63" i="52"/>
  <c r="X60" i="52"/>
  <c r="X57" i="52"/>
  <c r="X23" i="52"/>
  <c r="X14" i="52"/>
  <c r="X8" i="52"/>
  <c r="X4" i="52"/>
  <c r="X66" i="52"/>
  <c r="X55" i="52"/>
  <c r="X48" i="52"/>
  <c r="X46" i="52"/>
  <c r="X39" i="52"/>
  <c r="X37" i="52"/>
  <c r="X30" i="52"/>
  <c r="X32" i="52"/>
  <c r="X51" i="52"/>
  <c r="X49" i="52"/>
  <c r="X40" i="52"/>
  <c r="X33" i="52"/>
  <c r="X17" i="52"/>
  <c r="X50" i="52"/>
  <c r="X41" i="52"/>
  <c r="X20" i="52"/>
  <c r="X42" i="52"/>
  <c r="X62" i="52"/>
  <c r="X54" i="52"/>
  <c r="X52" i="52"/>
  <c r="X45" i="52"/>
  <c r="X43" i="52"/>
  <c r="X36" i="52"/>
  <c r="X34" i="52"/>
  <c r="X59" i="52"/>
  <c r="X47" i="52"/>
  <c r="X38" i="52"/>
  <c r="X29" i="52"/>
  <c r="X5" i="52"/>
  <c r="X2" i="52"/>
  <c r="X26" i="52"/>
  <c r="X56" i="52"/>
  <c r="X64" i="52"/>
  <c r="X31" i="52"/>
  <c r="X61" i="52"/>
  <c r="X11" i="52"/>
  <c r="X58" i="52"/>
  <c r="X53" i="52"/>
  <c r="X44" i="52"/>
  <c r="X35" i="52"/>
  <c r="X3" i="52"/>
  <c r="X65" i="52"/>
  <c r="L63" i="52"/>
  <c r="L60" i="52"/>
  <c r="L57" i="52"/>
  <c r="L54" i="52"/>
  <c r="L51" i="52"/>
  <c r="L48" i="52"/>
  <c r="L45" i="52"/>
  <c r="L42" i="52"/>
  <c r="L39" i="52"/>
  <c r="L36" i="52"/>
  <c r="L33" i="52"/>
  <c r="L30" i="52"/>
  <c r="L64" i="52"/>
  <c r="L61" i="52"/>
  <c r="L58" i="52"/>
  <c r="L55" i="52"/>
  <c r="L52" i="52"/>
  <c r="L49" i="52"/>
  <c r="L46" i="52"/>
  <c r="L43" i="52"/>
  <c r="L40" i="52"/>
  <c r="L37" i="52"/>
  <c r="L34" i="52"/>
  <c r="L31" i="52"/>
  <c r="L65" i="52"/>
  <c r="L26" i="52"/>
  <c r="L53" i="52"/>
  <c r="L44" i="52"/>
  <c r="L35" i="52"/>
  <c r="L23" i="52"/>
  <c r="L17" i="52"/>
  <c r="L15" i="52"/>
  <c r="L11" i="52"/>
  <c r="L9" i="52"/>
  <c r="L5" i="52"/>
  <c r="L2" i="52"/>
  <c r="L21" i="52"/>
  <c r="L19" i="52"/>
  <c r="L13" i="52"/>
  <c r="L7" i="52"/>
  <c r="L66" i="52"/>
  <c r="L22" i="52"/>
  <c r="L4" i="52"/>
  <c r="L3" i="52"/>
  <c r="L20" i="52"/>
  <c r="L27" i="52"/>
  <c r="L25" i="52"/>
  <c r="L8" i="52"/>
  <c r="L62" i="52"/>
  <c r="L50" i="52"/>
  <c r="L41" i="52"/>
  <c r="L32" i="52"/>
  <c r="L18" i="52"/>
  <c r="L14" i="52"/>
  <c r="L12" i="52"/>
  <c r="L16" i="52"/>
  <c r="L59" i="52"/>
  <c r="L10" i="52"/>
  <c r="L24" i="52"/>
  <c r="L56" i="52"/>
  <c r="L47" i="52"/>
  <c r="L38" i="52"/>
  <c r="L29" i="52"/>
  <c r="R26" i="52"/>
  <c r="R23" i="52"/>
  <c r="R20" i="52"/>
  <c r="R17" i="52"/>
  <c r="R14" i="52"/>
  <c r="R11" i="52"/>
  <c r="R64" i="52"/>
  <c r="R61" i="52"/>
  <c r="R58" i="52"/>
  <c r="R55" i="52"/>
  <c r="R52" i="52"/>
  <c r="R49" i="52"/>
  <c r="R46" i="52"/>
  <c r="R43" i="52"/>
  <c r="R40" i="52"/>
  <c r="R37" i="52"/>
  <c r="R34" i="52"/>
  <c r="R31" i="52"/>
  <c r="R27" i="52"/>
  <c r="R24" i="52"/>
  <c r="R21" i="52"/>
  <c r="R65" i="52"/>
  <c r="R62" i="52"/>
  <c r="R59" i="52"/>
  <c r="R56" i="52"/>
  <c r="R53" i="52"/>
  <c r="R50" i="52"/>
  <c r="R47" i="52"/>
  <c r="R44" i="52"/>
  <c r="R41" i="52"/>
  <c r="R38" i="52"/>
  <c r="R35" i="52"/>
  <c r="R32" i="52"/>
  <c r="R29" i="52"/>
  <c r="R51" i="52"/>
  <c r="R42" i="52"/>
  <c r="R33" i="52"/>
  <c r="R7" i="52"/>
  <c r="R60" i="52"/>
  <c r="R25" i="52"/>
  <c r="R30" i="52"/>
  <c r="R2" i="52"/>
  <c r="R63" i="52"/>
  <c r="R28" i="52"/>
  <c r="R3" i="52"/>
  <c r="R48" i="52"/>
  <c r="R39" i="52"/>
  <c r="R57" i="52"/>
  <c r="R18" i="52"/>
  <c r="R16" i="52"/>
  <c r="R12" i="52"/>
  <c r="R10" i="52"/>
  <c r="R6" i="52"/>
  <c r="R45" i="52"/>
  <c r="R8" i="52"/>
  <c r="R4" i="52"/>
  <c r="R66" i="52"/>
  <c r="R36" i="52"/>
  <c r="R22" i="52"/>
  <c r="R54" i="52"/>
  <c r="R19" i="52"/>
  <c r="R15" i="52"/>
  <c r="R13" i="52"/>
  <c r="R9" i="52"/>
  <c r="R5" i="52"/>
  <c r="T64" i="52"/>
  <c r="T61" i="52"/>
  <c r="T58" i="52"/>
  <c r="T55" i="52"/>
  <c r="T52" i="52"/>
  <c r="T49" i="52"/>
  <c r="T46" i="52"/>
  <c r="T43" i="52"/>
  <c r="T40" i="52"/>
  <c r="T37" i="52"/>
  <c r="T34" i="52"/>
  <c r="T31" i="52"/>
  <c r="T6" i="52"/>
  <c r="T65" i="52"/>
  <c r="T62" i="52"/>
  <c r="T59" i="52"/>
  <c r="T56" i="52"/>
  <c r="T53" i="52"/>
  <c r="T50" i="52"/>
  <c r="T47" i="52"/>
  <c r="T44" i="52"/>
  <c r="T41" i="52"/>
  <c r="T38" i="52"/>
  <c r="T35" i="52"/>
  <c r="T32" i="52"/>
  <c r="T29" i="52"/>
  <c r="T21" i="52"/>
  <c r="T48" i="52"/>
  <c r="T39" i="52"/>
  <c r="T16" i="52"/>
  <c r="T12" i="52"/>
  <c r="T2" i="52"/>
  <c r="T13" i="52"/>
  <c r="T63" i="52"/>
  <c r="T28" i="52"/>
  <c r="T3" i="52"/>
  <c r="T5" i="52"/>
  <c r="T15" i="52"/>
  <c r="T60" i="52"/>
  <c r="T25" i="52"/>
  <c r="T23" i="52"/>
  <c r="T30" i="52"/>
  <c r="T10" i="52"/>
  <c r="T57" i="52"/>
  <c r="T27" i="52"/>
  <c r="T19" i="52"/>
  <c r="T18" i="52"/>
  <c r="T14" i="52"/>
  <c r="T8" i="52"/>
  <c r="T4" i="52"/>
  <c r="T66" i="52"/>
  <c r="T22" i="52"/>
  <c r="T20" i="52"/>
  <c r="T54" i="52"/>
  <c r="T45" i="52"/>
  <c r="T36" i="52"/>
  <c r="T24" i="52"/>
  <c r="T9" i="52"/>
  <c r="T26" i="52"/>
  <c r="T51" i="52"/>
  <c r="T42" i="52"/>
  <c r="T33" i="52"/>
  <c r="T17" i="52"/>
  <c r="T11" i="52"/>
  <c r="T7" i="52"/>
  <c r="D20" i="52"/>
  <c r="C118" i="51"/>
  <c r="A105" i="51"/>
  <c r="C106" i="51"/>
  <c r="A97" i="51"/>
  <c r="A103" i="51"/>
  <c r="C116" i="51"/>
  <c r="C107" i="51"/>
  <c r="A98" i="51"/>
  <c r="F98" i="51"/>
  <c r="E98" i="51"/>
  <c r="B98" i="51"/>
  <c r="A113" i="51"/>
  <c r="E103" i="51"/>
  <c r="F103" i="51"/>
  <c r="A126" i="51"/>
  <c r="A104" i="51"/>
  <c r="C117" i="51"/>
  <c r="C108" i="51"/>
  <c r="A99" i="51"/>
  <c r="A137" i="51"/>
  <c r="C120" i="51"/>
  <c r="F107" i="51"/>
  <c r="E107" i="51"/>
  <c r="A130" i="51"/>
  <c r="A120" i="51"/>
  <c r="C104" i="51"/>
  <c r="C97" i="51"/>
  <c r="A135" i="51"/>
  <c r="C99" i="51"/>
  <c r="A101" i="51"/>
  <c r="C112" i="51"/>
  <c r="A109" i="51"/>
  <c r="A118" i="51"/>
  <c r="C114" i="51"/>
  <c r="C98" i="51"/>
  <c r="A100" i="51"/>
  <c r="C122" i="51"/>
  <c r="A139" i="51"/>
  <c r="C119" i="51"/>
  <c r="A136" i="51"/>
  <c r="F110" i="51"/>
  <c r="E110" i="51"/>
  <c r="A133" i="51"/>
  <c r="A102" i="51"/>
  <c r="C115" i="51"/>
  <c r="E100" i="51"/>
  <c r="F100" i="51"/>
  <c r="A123" i="51"/>
  <c r="A138" i="51"/>
  <c r="C121" i="51"/>
  <c r="F111" i="51"/>
  <c r="E111" i="51"/>
  <c r="A134" i="51"/>
  <c r="A111" i="51"/>
  <c r="F96" i="51"/>
  <c r="E96" i="51"/>
  <c r="B96" i="51"/>
  <c r="A106" i="51"/>
  <c r="C109" i="51"/>
  <c r="A115" i="51"/>
  <c r="C101" i="51"/>
  <c r="A96" i="51"/>
  <c r="C96" i="51"/>
  <c r="A112" i="51"/>
  <c r="E97" i="51"/>
  <c r="B97" i="51"/>
  <c r="F97" i="51"/>
  <c r="A108" i="51"/>
  <c r="C111" i="51"/>
  <c r="A128" i="51"/>
  <c r="F105" i="51"/>
  <c r="E105" i="51"/>
  <c r="A122" i="51"/>
  <c r="F99" i="51"/>
  <c r="E99" i="51"/>
  <c r="A114" i="51"/>
  <c r="C100" i="51"/>
  <c r="F106" i="51"/>
  <c r="E106" i="51"/>
  <c r="A129" i="51"/>
  <c r="F102" i="51"/>
  <c r="E102" i="51"/>
  <c r="A125" i="51"/>
  <c r="A131" i="51"/>
  <c r="E108" i="51"/>
  <c r="F108" i="51"/>
  <c r="A119" i="51"/>
  <c r="C105" i="51"/>
  <c r="A127" i="51"/>
  <c r="F104" i="51"/>
  <c r="E104" i="51"/>
  <c r="A132" i="51"/>
  <c r="F109" i="51"/>
  <c r="E109" i="51"/>
  <c r="C113" i="51"/>
  <c r="A110" i="51"/>
  <c r="C110" i="51"/>
  <c r="A107" i="51"/>
  <c r="F101" i="51"/>
  <c r="E101" i="51"/>
  <c r="A85" i="51"/>
  <c r="A81" i="51"/>
  <c r="A87" i="51"/>
  <c r="A82" i="51"/>
  <c r="A88" i="51"/>
  <c r="A86" i="51"/>
  <c r="A83" i="51"/>
  <c r="A89" i="51"/>
  <c r="B76" i="51"/>
  <c r="A76" i="51"/>
  <c r="C75" i="51"/>
  <c r="B77" i="51"/>
  <c r="A75" i="51"/>
  <c r="B75" i="51"/>
  <c r="BY5" i="61"/>
  <c r="BY34" i="61"/>
  <c r="BY34" i="59"/>
  <c r="BY5" i="63"/>
  <c r="BY5" i="59"/>
  <c r="BY34" i="63"/>
  <c r="BY34" i="57"/>
  <c r="BY5" i="57"/>
  <c r="BY34" i="55"/>
  <c r="BY5" i="55"/>
  <c r="EY3" i="61"/>
  <c r="EY3" i="63"/>
  <c r="EY3" i="57"/>
  <c r="EY3" i="55"/>
  <c r="EY3" i="59"/>
  <c r="B39" i="73"/>
  <c r="A53" i="79"/>
  <c r="F18" i="61"/>
  <c r="F18" i="63"/>
  <c r="F18" i="59"/>
  <c r="F18" i="57"/>
  <c r="Z15" i="81"/>
  <c r="A48" i="79"/>
  <c r="CA35" i="63"/>
  <c r="CA34" i="61"/>
  <c r="CA34" i="63"/>
  <c r="CA35" i="61"/>
  <c r="CA35" i="59"/>
  <c r="CA34" i="59"/>
  <c r="CA35" i="55"/>
  <c r="CA34" i="57"/>
  <c r="CA34" i="55"/>
  <c r="CA35" i="57"/>
  <c r="DN2" i="61"/>
  <c r="DN2" i="63"/>
  <c r="DN2" i="57"/>
  <c r="DN2" i="59"/>
  <c r="DN2" i="55"/>
  <c r="K61" i="32"/>
  <c r="B32" i="73"/>
  <c r="AL19" i="32"/>
  <c r="Q67" i="50"/>
  <c r="Q67" i="63"/>
  <c r="Q67" i="61"/>
  <c r="Q67" i="59"/>
  <c r="Q67" i="57"/>
  <c r="Q67" i="55"/>
  <c r="B27" i="32"/>
  <c r="DP2" i="61"/>
  <c r="DP2" i="63"/>
  <c r="DP2" i="57"/>
  <c r="DP2" i="59"/>
  <c r="DP2" i="55"/>
  <c r="C80" i="53"/>
  <c r="AT9" i="32" s="1"/>
  <c r="BY35" i="59"/>
  <c r="BY6" i="63"/>
  <c r="BY35" i="63"/>
  <c r="BY6" i="61"/>
  <c r="BY35" i="61"/>
  <c r="BY35" i="57"/>
  <c r="BY6" i="55"/>
  <c r="BY6" i="59"/>
  <c r="BY35" i="55"/>
  <c r="BY6" i="57"/>
  <c r="M10" i="61"/>
  <c r="N10" i="61" s="1"/>
  <c r="BY13" i="61"/>
  <c r="M10" i="63"/>
  <c r="N10" i="63" s="1"/>
  <c r="M10" i="57"/>
  <c r="N10" i="57" s="1"/>
  <c r="M10" i="59"/>
  <c r="BY13" i="59"/>
  <c r="BY13" i="63"/>
  <c r="BY13" i="57"/>
  <c r="M10" i="55"/>
  <c r="N10" i="55" s="1"/>
  <c r="BY13" i="55"/>
  <c r="B33" i="32"/>
  <c r="C27" i="96"/>
  <c r="E8" i="32"/>
  <c r="D80" i="53"/>
  <c r="AW2" i="32" s="1"/>
  <c r="AX2" i="32" s="1"/>
  <c r="D79" i="53"/>
  <c r="D77" i="53"/>
  <c r="FA5" i="61"/>
  <c r="FA5" i="63"/>
  <c r="FA5" i="59"/>
  <c r="FA5" i="57"/>
  <c r="FA5" i="55"/>
  <c r="F14" i="61"/>
  <c r="F14" i="63"/>
  <c r="F14" i="57"/>
  <c r="F14" i="59"/>
  <c r="EY2" i="63"/>
  <c r="EY2" i="59"/>
  <c r="EY2" i="61"/>
  <c r="EY2" i="57"/>
  <c r="EY2" i="55"/>
  <c r="C41" i="81"/>
  <c r="B13" i="32"/>
  <c r="F16" i="63"/>
  <c r="F16" i="61"/>
  <c r="F16" i="59"/>
  <c r="F16" i="57"/>
  <c r="I24" i="73"/>
  <c r="X5" i="61"/>
  <c r="X56" i="94" s="1"/>
  <c r="X5" i="59"/>
  <c r="X56" i="93" s="1"/>
  <c r="X5" i="63"/>
  <c r="X56" i="95" s="1"/>
  <c r="X5" i="57"/>
  <c r="X56" i="92" s="1"/>
  <c r="M11" i="61"/>
  <c r="N11" i="61" s="1"/>
  <c r="BY14" i="61"/>
  <c r="M11" i="63"/>
  <c r="N11" i="63" s="1"/>
  <c r="M11" i="59"/>
  <c r="BY14" i="63"/>
  <c r="M11" i="57"/>
  <c r="N11" i="57" s="1"/>
  <c r="BY14" i="59"/>
  <c r="BY14" i="57"/>
  <c r="M11" i="55"/>
  <c r="N11" i="55" s="1"/>
  <c r="BY14" i="55"/>
  <c r="C81" i="53"/>
  <c r="B21" i="32"/>
  <c r="BY32" i="63"/>
  <c r="BY3" i="61"/>
  <c r="BY32" i="61"/>
  <c r="BY32" i="59"/>
  <c r="BY3" i="59"/>
  <c r="BY3" i="63"/>
  <c r="BY32" i="55"/>
  <c r="BY3" i="57"/>
  <c r="BY32" i="57"/>
  <c r="BY3" i="55"/>
  <c r="FA2" i="63"/>
  <c r="FA2" i="61"/>
  <c r="FA2" i="59"/>
  <c r="FA2" i="57"/>
  <c r="FA2" i="55"/>
  <c r="EY4" i="61"/>
  <c r="EY4" i="63"/>
  <c r="EY4" i="59"/>
  <c r="EY4" i="57"/>
  <c r="EY4" i="55"/>
  <c r="EN4" i="61"/>
  <c r="T55" i="94" s="1"/>
  <c r="EN4" i="63"/>
  <c r="T55" i="95" s="1"/>
  <c r="EN4" i="59"/>
  <c r="T55" i="93" s="1"/>
  <c r="EN4" i="57"/>
  <c r="T55" i="92" s="1"/>
  <c r="EN4" i="55"/>
  <c r="T55" i="91" s="1"/>
  <c r="BZ35" i="63"/>
  <c r="BZ34" i="61"/>
  <c r="BZ34" i="59"/>
  <c r="BZ34" i="55"/>
  <c r="BZ35" i="59"/>
  <c r="BZ34" i="57"/>
  <c r="BZ34" i="63"/>
  <c r="BZ35" i="61"/>
  <c r="BZ35" i="57"/>
  <c r="BZ35" i="55"/>
  <c r="AF30" i="32"/>
  <c r="FA3" i="61"/>
  <c r="FA3" i="63"/>
  <c r="FA3" i="59"/>
  <c r="FA3" i="57"/>
  <c r="FA3" i="55"/>
  <c r="BZ32" i="63"/>
  <c r="BZ33" i="61"/>
  <c r="BZ33" i="59"/>
  <c r="BZ33" i="63"/>
  <c r="BZ32" i="61"/>
  <c r="BZ33" i="57"/>
  <c r="BZ32" i="59"/>
  <c r="BZ32" i="57"/>
  <c r="BZ33" i="55"/>
  <c r="BZ32" i="55"/>
  <c r="X4" i="61"/>
  <c r="X55" i="94" s="1"/>
  <c r="X4" i="63"/>
  <c r="X55" i="95" s="1"/>
  <c r="X4" i="57"/>
  <c r="X55" i="92" s="1"/>
  <c r="X4" i="59"/>
  <c r="X55" i="93" s="1"/>
  <c r="AB5" i="71"/>
  <c r="EN3" i="61"/>
  <c r="T54" i="94" s="1"/>
  <c r="EN3" i="63"/>
  <c r="T54" i="95" s="1"/>
  <c r="EN3" i="59"/>
  <c r="T54" i="93" s="1"/>
  <c r="EN3" i="57"/>
  <c r="T54" i="92" s="1"/>
  <c r="EN3" i="55"/>
  <c r="T54" i="91" s="1"/>
  <c r="BY33" i="61"/>
  <c r="BY4" i="61"/>
  <c r="BY33" i="63"/>
  <c r="BY4" i="63"/>
  <c r="BY33" i="59"/>
  <c r="BY33" i="57"/>
  <c r="BY4" i="57"/>
  <c r="BY4" i="59"/>
  <c r="BY33" i="55"/>
  <c r="BY4" i="55"/>
  <c r="FA4" i="61"/>
  <c r="FA4" i="63"/>
  <c r="FA4" i="57"/>
  <c r="FA4" i="59"/>
  <c r="FA4" i="55"/>
  <c r="F19" i="63"/>
  <c r="F19" i="61"/>
  <c r="F19" i="59"/>
  <c r="F19" i="57"/>
  <c r="F15" i="61"/>
  <c r="F15" i="63"/>
  <c r="F15" i="59"/>
  <c r="F15" i="57"/>
  <c r="AF9" i="32"/>
  <c r="DP3" i="61"/>
  <c r="DP3" i="59"/>
  <c r="DP3" i="63"/>
  <c r="DP3" i="57"/>
  <c r="DP3" i="55"/>
  <c r="FA9" i="61"/>
  <c r="FA9" i="63"/>
  <c r="FA9" i="59"/>
  <c r="FA9" i="57"/>
  <c r="FA9" i="55"/>
  <c r="FA6" i="63"/>
  <c r="FA6" i="57"/>
  <c r="FA6" i="59"/>
  <c r="FA6" i="61"/>
  <c r="FA6" i="55"/>
  <c r="X3" i="63"/>
  <c r="X54" i="95" s="1"/>
  <c r="X3" i="61"/>
  <c r="X54" i="94" s="1"/>
  <c r="X3" i="59"/>
  <c r="X54" i="93" s="1"/>
  <c r="X3" i="57"/>
  <c r="X54" i="92" s="1"/>
  <c r="B12" i="32"/>
  <c r="EN5" i="61"/>
  <c r="T56" i="94" s="1"/>
  <c r="EN5" i="59"/>
  <c r="T56" i="93" s="1"/>
  <c r="EN5" i="63"/>
  <c r="T56" i="95" s="1"/>
  <c r="EN5" i="57"/>
  <c r="T56" i="92" s="1"/>
  <c r="EN5" i="55"/>
  <c r="T56" i="91" s="1"/>
  <c r="AB41" i="61"/>
  <c r="CD17" i="61"/>
  <c r="AB41" i="59"/>
  <c r="CD17" i="59"/>
  <c r="AB41" i="63"/>
  <c r="CD17" i="63"/>
  <c r="AB41" i="55"/>
  <c r="AB41" i="57"/>
  <c r="CD17" i="57"/>
  <c r="CD17" i="55"/>
  <c r="FA7" i="61"/>
  <c r="FA7" i="63"/>
  <c r="FA7" i="59"/>
  <c r="FA7" i="57"/>
  <c r="FA7" i="55"/>
  <c r="CA33" i="59"/>
  <c r="CA33" i="63"/>
  <c r="CA32" i="61"/>
  <c r="CA33" i="57"/>
  <c r="CA32" i="63"/>
  <c r="CA32" i="59"/>
  <c r="CA33" i="61"/>
  <c r="CA33" i="55"/>
  <c r="CA32" i="55"/>
  <c r="CA32" i="57"/>
  <c r="BY15" i="63"/>
  <c r="M12" i="61"/>
  <c r="N12" i="61" s="1"/>
  <c r="BY15" i="61"/>
  <c r="M12" i="63"/>
  <c r="N12" i="63" s="1"/>
  <c r="BY15" i="59"/>
  <c r="M12" i="59"/>
  <c r="BY15" i="57"/>
  <c r="BY15" i="55"/>
  <c r="M12" i="57"/>
  <c r="N12" i="57" s="1"/>
  <c r="M12" i="55"/>
  <c r="N12" i="55" s="1"/>
  <c r="EY5" i="61"/>
  <c r="EY5" i="59"/>
  <c r="EY5" i="63"/>
  <c r="EY5" i="57"/>
  <c r="EY5" i="55"/>
  <c r="FA8" i="63"/>
  <c r="FA8" i="61"/>
  <c r="FA8" i="55"/>
  <c r="FA8" i="57"/>
  <c r="FA8" i="59"/>
  <c r="F17" i="59"/>
  <c r="F17" i="63"/>
  <c r="F17" i="57"/>
  <c r="F17" i="61"/>
  <c r="AB40" i="63"/>
  <c r="CD16" i="61"/>
  <c r="CD16" i="63"/>
  <c r="AB40" i="61"/>
  <c r="CD16" i="57"/>
  <c r="CD16" i="59"/>
  <c r="AB40" i="59"/>
  <c r="AB40" i="55"/>
  <c r="AB40" i="57"/>
  <c r="CD16" i="55"/>
  <c r="F24" i="52"/>
  <c r="F62" i="52"/>
  <c r="F59" i="52"/>
  <c r="F54" i="52"/>
  <c r="F55" i="52"/>
  <c r="A7" i="79"/>
  <c r="E32" i="52"/>
  <c r="E6" i="52"/>
  <c r="E28" i="52"/>
  <c r="F12" i="52"/>
  <c r="C6" i="52"/>
  <c r="C28" i="52"/>
  <c r="A51" i="50"/>
  <c r="F19" i="79"/>
  <c r="X3" i="50"/>
  <c r="EN4" i="50"/>
  <c r="B8" i="32"/>
  <c r="B62" i="44"/>
  <c r="S10" i="79"/>
  <c r="A4" i="79"/>
  <c r="F33" i="52"/>
  <c r="E24" i="73"/>
  <c r="P4" i="81"/>
  <c r="AD8" i="81"/>
  <c r="F5" i="32"/>
  <c r="E21" i="80"/>
  <c r="D78" i="53"/>
  <c r="V6" i="96"/>
  <c r="B32" i="32"/>
  <c r="B15" i="100"/>
  <c r="F5" i="80"/>
  <c r="B8" i="100"/>
  <c r="B34" i="80"/>
  <c r="B31" i="100"/>
  <c r="B12" i="100"/>
  <c r="AL2" i="71"/>
  <c r="Q2" i="100"/>
  <c r="A51" i="79"/>
  <c r="C28" i="96"/>
  <c r="I26" i="96" s="1"/>
  <c r="E2" i="52"/>
  <c r="E56" i="52"/>
  <c r="E48" i="52"/>
  <c r="E50" i="52"/>
  <c r="C35" i="81"/>
  <c r="C47" i="81"/>
  <c r="E5" i="52"/>
  <c r="F14" i="79"/>
  <c r="E52" i="52"/>
  <c r="E34" i="52"/>
  <c r="E21" i="52"/>
  <c r="E22" i="52"/>
  <c r="B570" i="53"/>
  <c r="E24" i="52"/>
  <c r="E12" i="52"/>
  <c r="F18" i="79"/>
  <c r="E17" i="52"/>
  <c r="E61" i="52"/>
  <c r="E58" i="52"/>
  <c r="E41" i="52"/>
  <c r="E54" i="52"/>
  <c r="E43" i="52"/>
  <c r="E30" i="52"/>
  <c r="E7" i="52"/>
  <c r="E64" i="52"/>
  <c r="E38" i="52"/>
  <c r="E42" i="52"/>
  <c r="E11" i="52"/>
  <c r="E29" i="52"/>
  <c r="E33" i="52"/>
  <c r="C24" i="96"/>
  <c r="E20" i="52"/>
  <c r="E37" i="52"/>
  <c r="E25" i="52"/>
  <c r="E47" i="52"/>
  <c r="E15" i="52"/>
  <c r="E14" i="52"/>
  <c r="A11" i="79"/>
  <c r="E63" i="52"/>
  <c r="E60" i="52"/>
  <c r="E51" i="52"/>
  <c r="E66" i="52"/>
  <c r="E45" i="52"/>
  <c r="E27" i="52"/>
  <c r="E46" i="52"/>
  <c r="E23" i="52"/>
  <c r="C48" i="81"/>
  <c r="E36" i="52"/>
  <c r="E40" i="52"/>
  <c r="A32" i="79"/>
  <c r="U4" i="79"/>
  <c r="A31" i="50"/>
  <c r="CA32" i="50"/>
  <c r="A9" i="79"/>
  <c r="U13" i="79"/>
  <c r="A19" i="79"/>
  <c r="FA4" i="50"/>
  <c r="BZ35" i="50"/>
  <c r="C59" i="52"/>
  <c r="V12" i="79"/>
  <c r="FA2" i="50"/>
  <c r="A45" i="79"/>
  <c r="A42" i="79"/>
  <c r="U7" i="79"/>
  <c r="V40" i="79"/>
  <c r="A24" i="79"/>
  <c r="A45" i="50"/>
  <c r="R4" i="79"/>
  <c r="R8" i="79"/>
  <c r="B91" i="53"/>
  <c r="V23" i="96" s="1"/>
  <c r="EY2" i="50"/>
  <c r="EN5" i="50"/>
  <c r="X5" i="79"/>
  <c r="Q28" i="79"/>
  <c r="F18" i="50"/>
  <c r="Q18" i="79"/>
  <c r="R30" i="79"/>
  <c r="Q53" i="79"/>
  <c r="FA7" i="50"/>
  <c r="X4" i="79"/>
  <c r="BY6" i="50"/>
  <c r="A37" i="79"/>
  <c r="A16" i="79"/>
  <c r="A29" i="79"/>
  <c r="Q48" i="79"/>
  <c r="BY3" i="79"/>
  <c r="BY34" i="50"/>
  <c r="F15" i="50"/>
  <c r="A33" i="50"/>
  <c r="BY33" i="50"/>
  <c r="V8" i="79"/>
  <c r="C21" i="81"/>
  <c r="AB40" i="50"/>
  <c r="CD16" i="50"/>
  <c r="AB41" i="50"/>
  <c r="CD17" i="50"/>
  <c r="C21" i="96"/>
  <c r="B26" i="32"/>
  <c r="H68" i="32"/>
  <c r="A6" i="79"/>
  <c r="AA30" i="81"/>
  <c r="AC2" i="21"/>
  <c r="Q43" i="79"/>
  <c r="H71" i="32"/>
  <c r="B93" i="53"/>
  <c r="V25" i="96" s="1"/>
  <c r="AA14" i="81"/>
  <c r="AA35" i="81"/>
  <c r="AH19" i="81"/>
  <c r="AD14" i="32"/>
  <c r="U17" i="79"/>
  <c r="R44" i="79"/>
  <c r="X5" i="50"/>
  <c r="AF25" i="32"/>
  <c r="AC8" i="52"/>
  <c r="U25" i="79"/>
  <c r="AM14" i="32"/>
  <c r="Q57" i="79"/>
  <c r="B28" i="73"/>
  <c r="U39" i="79"/>
  <c r="Y19" i="81"/>
  <c r="R22" i="79"/>
  <c r="AC4" i="52"/>
  <c r="C8" i="96"/>
  <c r="Q35" i="79"/>
  <c r="C10" i="96"/>
  <c r="V25" i="79"/>
  <c r="E15" i="80"/>
  <c r="U35" i="79"/>
  <c r="R40" i="79"/>
  <c r="V35" i="79"/>
  <c r="Q2" i="96"/>
  <c r="A28" i="79"/>
  <c r="R17" i="79"/>
  <c r="AK2" i="81"/>
  <c r="K46" i="81"/>
  <c r="S22" i="73"/>
  <c r="R35" i="79"/>
  <c r="B24" i="32"/>
  <c r="F43" i="52"/>
  <c r="B569" i="53"/>
  <c r="F46" i="52"/>
  <c r="V7" i="96"/>
  <c r="C40" i="52"/>
  <c r="AC3" i="52"/>
  <c r="Q2" i="80"/>
  <c r="U12" i="79"/>
  <c r="R38" i="79"/>
  <c r="A50" i="79"/>
  <c r="Q10" i="79"/>
  <c r="AP2" i="32"/>
  <c r="BZ34" i="50"/>
  <c r="C43" i="52"/>
  <c r="Q28" i="97"/>
  <c r="AT2" i="44"/>
  <c r="H67" i="32"/>
  <c r="U26" i="79"/>
  <c r="A12" i="79"/>
  <c r="C62" i="52"/>
  <c r="C42" i="52"/>
  <c r="D81" i="53"/>
  <c r="Q30" i="79"/>
  <c r="BQ2" i="79"/>
  <c r="C7" i="52"/>
  <c r="C61" i="52"/>
  <c r="DN3" i="79"/>
  <c r="F41" i="52"/>
  <c r="A43" i="79"/>
  <c r="C31" i="52"/>
  <c r="F34" i="52"/>
  <c r="C44" i="52"/>
  <c r="C30" i="52"/>
  <c r="V26" i="79"/>
  <c r="C15" i="52"/>
  <c r="Q31" i="79"/>
  <c r="C17" i="52"/>
  <c r="C63" i="52"/>
  <c r="C55" i="52"/>
  <c r="F14" i="50"/>
  <c r="F15" i="79"/>
  <c r="V8" i="81"/>
  <c r="C43" i="81"/>
  <c r="F57" i="52"/>
  <c r="F45" i="52"/>
  <c r="X3" i="79"/>
  <c r="A38" i="79"/>
  <c r="B5" i="32"/>
  <c r="F20" i="52"/>
  <c r="F64" i="52"/>
  <c r="B14" i="32"/>
  <c r="AL8" i="81"/>
  <c r="F40" i="52"/>
  <c r="F7" i="52"/>
  <c r="DP2" i="79"/>
  <c r="B30" i="32"/>
  <c r="R12" i="79"/>
  <c r="F36" i="52"/>
  <c r="F17" i="52"/>
  <c r="V16" i="96"/>
  <c r="W16" i="96" s="1"/>
  <c r="A30" i="79"/>
  <c r="F13" i="52"/>
  <c r="Q17" i="79"/>
  <c r="F8" i="52"/>
  <c r="F47" i="52"/>
  <c r="A5" i="79"/>
  <c r="Q58" i="79"/>
  <c r="F15" i="52"/>
  <c r="F39" i="52"/>
  <c r="U41" i="79"/>
  <c r="S6" i="79"/>
  <c r="V22" i="79"/>
  <c r="R20" i="79"/>
  <c r="B92" i="21"/>
  <c r="Q14" i="79"/>
  <c r="R25" i="79"/>
  <c r="U37" i="79"/>
  <c r="FA8" i="50"/>
  <c r="J5" i="32"/>
  <c r="EY3" i="50"/>
  <c r="F66" i="52"/>
  <c r="Q38" i="79"/>
  <c r="Q21" i="79"/>
  <c r="A44" i="50"/>
  <c r="Q46" i="79"/>
  <c r="F9" i="52"/>
  <c r="V30" i="79"/>
  <c r="Q7" i="79"/>
  <c r="B25" i="32"/>
  <c r="B568" i="53"/>
  <c r="Q13" i="79"/>
  <c r="A52" i="50"/>
  <c r="FA5" i="50"/>
  <c r="BY13" i="50"/>
  <c r="A15" i="79"/>
  <c r="A14" i="79"/>
  <c r="A49" i="79"/>
  <c r="R8" i="81"/>
  <c r="H69" i="32"/>
  <c r="F61" i="52"/>
  <c r="F22" i="52"/>
  <c r="F2" i="52"/>
  <c r="F65" i="52"/>
  <c r="S24" i="32"/>
  <c r="U34" i="79"/>
  <c r="S13" i="79"/>
  <c r="V10" i="79"/>
  <c r="X4" i="50"/>
  <c r="BY35" i="50"/>
  <c r="AC8" i="32"/>
  <c r="F11" i="52"/>
  <c r="B7" i="32"/>
  <c r="BY5" i="50"/>
  <c r="X13" i="81"/>
  <c r="BY32" i="50"/>
  <c r="V5" i="96"/>
  <c r="F19" i="52"/>
  <c r="F29" i="52"/>
  <c r="F53" i="52"/>
  <c r="Q52" i="79"/>
  <c r="A34" i="50"/>
  <c r="U38" i="79"/>
  <c r="V17" i="79"/>
  <c r="C77" i="53"/>
  <c r="V39" i="79"/>
  <c r="F23" i="52"/>
  <c r="C78" i="53"/>
  <c r="Q26" i="79"/>
  <c r="V37" i="81"/>
  <c r="EN3" i="50"/>
  <c r="F18" i="52"/>
  <c r="F60" i="52"/>
  <c r="F32" i="52"/>
  <c r="R43" i="79"/>
  <c r="CA33" i="50"/>
  <c r="B8" i="21"/>
  <c r="R18" i="79"/>
  <c r="V36" i="79"/>
  <c r="R31" i="79"/>
  <c r="M12" i="50"/>
  <c r="S12" i="79"/>
  <c r="V43" i="81"/>
  <c r="Q34" i="79"/>
  <c r="BY5" i="79"/>
  <c r="R13" i="79"/>
  <c r="S7" i="32"/>
  <c r="F49" i="52"/>
  <c r="F14" i="52"/>
  <c r="F52" i="52"/>
  <c r="A47" i="79"/>
  <c r="BY6" i="79"/>
  <c r="V38" i="79"/>
  <c r="C37" i="81"/>
  <c r="M11" i="50"/>
  <c r="F56" i="52"/>
  <c r="BY3" i="50"/>
  <c r="AC24" i="32"/>
  <c r="AC5" i="52"/>
  <c r="N5" i="32"/>
  <c r="F3" i="52"/>
  <c r="F10" i="52"/>
  <c r="F26" i="52"/>
  <c r="R5" i="79"/>
  <c r="B92" i="53"/>
  <c r="V24" i="96" s="1"/>
  <c r="T4" i="79"/>
  <c r="U6" i="79"/>
  <c r="B28" i="32"/>
  <c r="U30" i="79"/>
  <c r="C9" i="52"/>
  <c r="C27" i="81"/>
  <c r="A10" i="79"/>
  <c r="Q29" i="79"/>
  <c r="U11" i="79"/>
  <c r="A36" i="79"/>
  <c r="F21" i="52"/>
  <c r="E18" i="52"/>
  <c r="A39" i="50"/>
  <c r="AE10" i="32"/>
  <c r="C18" i="52"/>
  <c r="Q8" i="79"/>
  <c r="S8" i="79"/>
  <c r="K28" i="81"/>
  <c r="C19" i="52"/>
  <c r="A46" i="79"/>
  <c r="A2" i="32"/>
  <c r="D13" i="71" s="1"/>
  <c r="Z8" i="81"/>
  <c r="F42" i="52"/>
  <c r="F63" i="52"/>
  <c r="F35" i="52"/>
  <c r="V11" i="79"/>
  <c r="F44" i="52"/>
  <c r="C66" i="52"/>
  <c r="R16" i="79"/>
  <c r="C56" i="52"/>
  <c r="A15" i="50"/>
  <c r="C47" i="52"/>
  <c r="AH8" i="81"/>
  <c r="R39" i="79"/>
  <c r="F27" i="52"/>
  <c r="C10" i="52"/>
  <c r="H61" i="32"/>
  <c r="F37" i="52"/>
  <c r="F5" i="52"/>
  <c r="F16" i="52"/>
  <c r="Q11" i="79"/>
  <c r="Q55" i="79"/>
  <c r="E65" i="52"/>
  <c r="S9" i="79"/>
  <c r="Q9" i="79"/>
  <c r="E53" i="52"/>
  <c r="BY16" i="79"/>
  <c r="BY15" i="50"/>
  <c r="E8" i="52"/>
  <c r="BZ32" i="50"/>
  <c r="E31" i="52"/>
  <c r="E13" i="52"/>
  <c r="BZ33" i="50"/>
  <c r="E39" i="52"/>
  <c r="E44" i="52"/>
  <c r="E55" i="52"/>
  <c r="E4" i="52"/>
  <c r="V15" i="79"/>
  <c r="B14" i="81"/>
  <c r="D14" i="81" s="1"/>
  <c r="C11" i="81"/>
  <c r="BY14" i="50"/>
  <c r="Q33" i="79"/>
  <c r="AT15" i="32"/>
  <c r="R9" i="79"/>
  <c r="E57" i="52"/>
  <c r="AC2" i="52"/>
  <c r="U15" i="79"/>
  <c r="AO31" i="32"/>
  <c r="AF48" i="81"/>
  <c r="R21" i="79"/>
  <c r="Q6" i="79"/>
  <c r="V16" i="79"/>
  <c r="U16" i="79"/>
  <c r="CA35" i="50"/>
  <c r="H66" i="32"/>
  <c r="CA34" i="50"/>
  <c r="V34" i="79"/>
  <c r="V37" i="79"/>
  <c r="S11" i="79"/>
  <c r="EY4" i="50"/>
  <c r="BY15" i="79"/>
  <c r="R42" i="79"/>
  <c r="F19" i="50"/>
  <c r="FA9" i="50"/>
  <c r="A16" i="50"/>
  <c r="A24" i="50"/>
  <c r="A44" i="79"/>
  <c r="A20" i="79"/>
  <c r="A40" i="79"/>
  <c r="R46" i="79"/>
  <c r="Q40" i="79"/>
  <c r="FA6" i="50"/>
  <c r="S16" i="79"/>
  <c r="C51" i="52"/>
  <c r="C12" i="96"/>
  <c r="E19" i="80"/>
  <c r="A22" i="79"/>
  <c r="U22" i="79"/>
  <c r="AC7" i="52"/>
  <c r="U9" i="79"/>
  <c r="V41" i="79"/>
  <c r="R27" i="79"/>
  <c r="C79" i="53"/>
  <c r="DN4" i="79"/>
  <c r="R19" i="79"/>
  <c r="DP3" i="50"/>
  <c r="V28" i="79"/>
  <c r="A26" i="79"/>
  <c r="T5" i="79"/>
  <c r="Q32" i="79"/>
  <c r="Q59" i="79"/>
  <c r="EY5" i="50"/>
  <c r="DP3" i="79"/>
  <c r="A23" i="79"/>
  <c r="V9" i="79"/>
  <c r="R33" i="79"/>
  <c r="U28" i="79"/>
  <c r="A41" i="79"/>
  <c r="C35" i="52"/>
  <c r="H70" i="32"/>
  <c r="E3" i="52"/>
  <c r="E49" i="52"/>
  <c r="S7" i="79"/>
  <c r="E19" i="52"/>
  <c r="E16" i="52"/>
  <c r="E26" i="52"/>
  <c r="E59" i="52"/>
  <c r="C30" i="96"/>
  <c r="C8" i="52"/>
  <c r="F51" i="52"/>
  <c r="F30" i="52"/>
  <c r="U36" i="79"/>
  <c r="FA3" i="50"/>
  <c r="B11" i="32"/>
  <c r="R14" i="79"/>
  <c r="C54" i="52"/>
  <c r="C46" i="52"/>
  <c r="C29" i="52"/>
  <c r="R41" i="79"/>
  <c r="A8" i="79"/>
  <c r="C19" i="81"/>
  <c r="U43" i="79"/>
  <c r="U40" i="79"/>
  <c r="R45" i="79"/>
  <c r="B30" i="73"/>
  <c r="Q25" i="79"/>
  <c r="C32" i="52"/>
  <c r="C16" i="52"/>
  <c r="V33" i="79"/>
  <c r="F48" i="52"/>
  <c r="Q54" i="79"/>
  <c r="U32" i="79"/>
  <c r="Q50" i="79"/>
  <c r="F25" i="52"/>
  <c r="Q44" i="79"/>
  <c r="V13" i="79"/>
  <c r="V43" i="79"/>
  <c r="V6" i="79"/>
  <c r="R37" i="79"/>
  <c r="Q51" i="79"/>
  <c r="F38" i="52"/>
  <c r="Q27" i="79"/>
  <c r="R48" i="79"/>
  <c r="Q61" i="79"/>
  <c r="V7" i="79"/>
  <c r="C45" i="81"/>
  <c r="Q5" i="79"/>
  <c r="S5" i="79"/>
  <c r="C25" i="81"/>
  <c r="BY13" i="79"/>
  <c r="A3" i="79"/>
  <c r="BY4" i="50"/>
  <c r="BY4" i="79"/>
  <c r="C23" i="81"/>
  <c r="AR19" i="32"/>
  <c r="H65" i="32"/>
  <c r="A35" i="79"/>
  <c r="Q15" i="79"/>
  <c r="V4" i="79"/>
  <c r="R6" i="79"/>
  <c r="U10" i="79"/>
  <c r="B26" i="73"/>
  <c r="C15" i="81"/>
  <c r="B35" i="73"/>
  <c r="U33" i="79"/>
  <c r="U42" i="79"/>
  <c r="AM24" i="81"/>
  <c r="M10" i="50"/>
  <c r="C13" i="81"/>
  <c r="BY14" i="79"/>
  <c r="A39" i="79"/>
  <c r="C12" i="52"/>
  <c r="C21" i="52"/>
  <c r="C26" i="52"/>
  <c r="C38" i="52"/>
  <c r="C14" i="52"/>
  <c r="C11" i="52"/>
  <c r="C25" i="52"/>
  <c r="C3" i="52"/>
  <c r="C27" i="52"/>
  <c r="C5" i="52"/>
  <c r="C2" i="52"/>
  <c r="C41" i="52"/>
  <c r="C24" i="52"/>
  <c r="C22" i="52"/>
  <c r="C53" i="52"/>
  <c r="C4" i="52"/>
  <c r="C52" i="52"/>
  <c r="DN2" i="79"/>
  <c r="C58" i="52"/>
  <c r="C13" i="52"/>
  <c r="C37" i="52"/>
  <c r="DN2" i="50"/>
  <c r="C60" i="52"/>
  <c r="C23" i="52"/>
  <c r="C39" i="52"/>
  <c r="C22" i="96"/>
  <c r="Q60" i="79"/>
  <c r="R15" i="79"/>
  <c r="R47" i="79"/>
  <c r="A21" i="79"/>
  <c r="E35" i="52"/>
  <c r="E10" i="52"/>
  <c r="AC1" i="52"/>
  <c r="Q12" i="79"/>
  <c r="BR2" i="79"/>
  <c r="V14" i="79"/>
  <c r="U14" i="79"/>
  <c r="C82" i="53"/>
  <c r="A27" i="79"/>
  <c r="V42" i="79"/>
  <c r="A33" i="79"/>
  <c r="V20" i="79"/>
  <c r="U20" i="79"/>
  <c r="X29" i="81"/>
  <c r="AG24" i="81"/>
  <c r="M24" i="73"/>
  <c r="R5" i="32"/>
  <c r="V5" i="32"/>
  <c r="F58" i="52"/>
  <c r="F50" i="52"/>
  <c r="B72" i="21"/>
  <c r="F17" i="50"/>
  <c r="B15" i="32"/>
  <c r="C57" i="52"/>
  <c r="C36" i="52"/>
  <c r="C64" i="52"/>
  <c r="C48" i="52"/>
  <c r="C65" i="52"/>
  <c r="C50" i="52"/>
  <c r="C33" i="52"/>
  <c r="C34" i="52"/>
  <c r="C49" i="52"/>
  <c r="C14" i="81"/>
  <c r="E14" i="81" s="1"/>
  <c r="F16" i="50"/>
  <c r="F17" i="79"/>
  <c r="C39" i="81"/>
  <c r="I36" i="81" s="1"/>
  <c r="DP2" i="50"/>
  <c r="S18" i="79"/>
  <c r="Q23" i="79"/>
  <c r="A25" i="79"/>
  <c r="U8" i="79"/>
  <c r="A34" i="79"/>
  <c r="U18" i="79"/>
  <c r="Q36" i="79"/>
  <c r="R23" i="79"/>
  <c r="V18" i="79"/>
  <c r="S17" i="79"/>
  <c r="T6" i="79"/>
  <c r="R10" i="79"/>
  <c r="Q22" i="79"/>
  <c r="Q16" i="79"/>
  <c r="U5" i="79"/>
  <c r="V5" i="79"/>
  <c r="R7" i="79"/>
  <c r="R36" i="79"/>
  <c r="U31" i="79"/>
  <c r="Q49" i="79"/>
  <c r="V31" i="79"/>
  <c r="S14" i="79"/>
  <c r="Q19" i="79"/>
  <c r="S15" i="79"/>
  <c r="Q20" i="79"/>
  <c r="S4" i="79"/>
  <c r="B39" i="81"/>
  <c r="Q4" i="79"/>
  <c r="AK35" i="73"/>
  <c r="V21" i="79"/>
  <c r="R26" i="79"/>
  <c r="U21" i="79"/>
  <c r="Q39" i="79"/>
  <c r="Q37" i="79"/>
  <c r="V19" i="79"/>
  <c r="R24" i="79"/>
  <c r="U19" i="79"/>
  <c r="S19" i="79"/>
  <c r="R11" i="79"/>
  <c r="Q24" i="79"/>
  <c r="T7" i="79"/>
  <c r="O65" i="93" l="1" a="1"/>
  <c r="O65" i="93" s="1"/>
  <c r="O65" i="91" a="1"/>
  <c r="O65" i="91" s="1"/>
  <c r="P82" i="91"/>
  <c r="P82" i="32"/>
  <c r="P82" i="94"/>
  <c r="P82" i="93"/>
  <c r="P82" i="95"/>
  <c r="P82" i="92"/>
  <c r="AT9" i="93"/>
  <c r="AT8" i="94"/>
  <c r="AY2" i="94" s="1"/>
  <c r="AW2" i="91"/>
  <c r="AX2" i="91" s="1"/>
  <c r="AZ2" i="91" s="1"/>
  <c r="AT9" i="94"/>
  <c r="AW2" i="95"/>
  <c r="AT8" i="92"/>
  <c r="AY2" i="92" s="1"/>
  <c r="AT8" i="91"/>
  <c r="AY2" i="91" s="1"/>
  <c r="AW2" i="92"/>
  <c r="AX3" i="92" s="1"/>
  <c r="AT9" i="95"/>
  <c r="AT9" i="91"/>
  <c r="AT9" i="92"/>
  <c r="AT8" i="95"/>
  <c r="AY2" i="95" s="1"/>
  <c r="AW2" i="94"/>
  <c r="AW2" i="93"/>
  <c r="AT8" i="93"/>
  <c r="AY2" i="93" s="1"/>
  <c r="AT8" i="32"/>
  <c r="B20" i="93"/>
  <c r="J20" i="91"/>
  <c r="J20" i="95"/>
  <c r="T59" i="94"/>
  <c r="J20" i="92"/>
  <c r="B19" i="93"/>
  <c r="B19" i="95"/>
  <c r="AU9" i="94"/>
  <c r="B19" i="94"/>
  <c r="J20" i="94"/>
  <c r="B19" i="91"/>
  <c r="AU25" i="94"/>
  <c r="AU23" i="94"/>
  <c r="AU10" i="95"/>
  <c r="J20" i="93"/>
  <c r="O65" i="95" a="1"/>
  <c r="J16" i="95"/>
  <c r="B16" i="95"/>
  <c r="K54" i="95" a="1"/>
  <c r="T59" i="91"/>
  <c r="AU10" i="93"/>
  <c r="AJ43" i="94"/>
  <c r="AI43" i="94" s="1"/>
  <c r="AX3" i="95"/>
  <c r="AX2" i="95"/>
  <c r="AZ2" i="95" s="1"/>
  <c r="B20" i="95"/>
  <c r="B16" i="92"/>
  <c r="K54" i="92" a="1"/>
  <c r="J16" i="92"/>
  <c r="T59" i="92"/>
  <c r="AV19" i="91"/>
  <c r="B18" i="91"/>
  <c r="L36" i="94" a="1"/>
  <c r="K54" i="91" a="1"/>
  <c r="J16" i="91"/>
  <c r="B16" i="91"/>
  <c r="T59" i="93"/>
  <c r="AU19" i="95"/>
  <c r="AU19" i="91"/>
  <c r="AU19" i="94"/>
  <c r="AU19" i="92"/>
  <c r="AU19" i="93"/>
  <c r="L36" i="95" a="1"/>
  <c r="AJ43" i="91"/>
  <c r="AI43" i="91" s="1"/>
  <c r="K54" i="93" a="1"/>
  <c r="J16" i="93"/>
  <c r="B16" i="93"/>
  <c r="T59" i="95"/>
  <c r="AU25" i="91"/>
  <c r="AU23" i="91"/>
  <c r="AV19" i="92"/>
  <c r="B18" i="92"/>
  <c r="B19" i="92"/>
  <c r="B20" i="92"/>
  <c r="AU10" i="94"/>
  <c r="L36" i="91" a="1"/>
  <c r="L36" i="92" a="1"/>
  <c r="AJ43" i="95"/>
  <c r="AI43" i="95" s="1"/>
  <c r="B20" i="94"/>
  <c r="AU25" i="92"/>
  <c r="AU23" i="92"/>
  <c r="AU9" i="91"/>
  <c r="L36" i="93" a="1"/>
  <c r="AU7" i="91"/>
  <c r="AB4" i="91"/>
  <c r="B9" i="91"/>
  <c r="B20" i="91"/>
  <c r="B16" i="94"/>
  <c r="O65" i="94" a="1"/>
  <c r="K54" i="94" a="1"/>
  <c r="J16" i="94"/>
  <c r="AU9" i="93"/>
  <c r="B18" i="93"/>
  <c r="AV19" i="93"/>
  <c r="B36" i="95" a="1"/>
  <c r="B36" i="95" s="1"/>
  <c r="B36" i="91" a="1"/>
  <c r="B36" i="91" s="1"/>
  <c r="B36" i="94" a="1"/>
  <c r="B36" i="94" s="1"/>
  <c r="B36" i="92" a="1"/>
  <c r="B36" i="92" s="1"/>
  <c r="B36" i="93" a="1"/>
  <c r="B36" i="93" s="1"/>
  <c r="AX3" i="94"/>
  <c r="AX2" i="94"/>
  <c r="AZ2" i="94" s="1"/>
  <c r="BA2" i="94" s="1"/>
  <c r="AX2" i="93"/>
  <c r="AZ2" i="93" s="1"/>
  <c r="BA2" i="93" s="1"/>
  <c r="AX3" i="93"/>
  <c r="AY3" i="93" s="1"/>
  <c r="AU25" i="95"/>
  <c r="AU23" i="95"/>
  <c r="AU9" i="92"/>
  <c r="B18" i="95"/>
  <c r="AV19" i="95"/>
  <c r="B9" i="92"/>
  <c r="AU7" i="92"/>
  <c r="AB4" i="92"/>
  <c r="AJ43" i="92"/>
  <c r="AI43" i="92" s="1"/>
  <c r="AU25" i="93"/>
  <c r="AU23" i="93"/>
  <c r="AU10" i="91"/>
  <c r="AU9" i="95"/>
  <c r="AB4" i="93"/>
  <c r="B9" i="93"/>
  <c r="AU7" i="93"/>
  <c r="AV19" i="94"/>
  <c r="B18" i="94"/>
  <c r="B9" i="94"/>
  <c r="AU7" i="94"/>
  <c r="AB4" i="94"/>
  <c r="G7" i="94" s="1"/>
  <c r="AJ43" i="93"/>
  <c r="AI43" i="93" s="1"/>
  <c r="AU10" i="92"/>
  <c r="AB29" i="93"/>
  <c r="L38" i="92" a="1"/>
  <c r="AB29" i="94"/>
  <c r="AB29" i="95"/>
  <c r="L38" i="91" a="1"/>
  <c r="AB29" i="92"/>
  <c r="AB29" i="91"/>
  <c r="L38" i="95" a="1"/>
  <c r="L38" i="94" a="1"/>
  <c r="L38" i="93" a="1"/>
  <c r="AU7" i="95"/>
  <c r="AB4" i="95"/>
  <c r="B9" i="95"/>
  <c r="B36" i="32" a="1"/>
  <c r="B36" i="32" s="1"/>
  <c r="L36" i="32" a="1"/>
  <c r="G7" i="52"/>
  <c r="AJ43" i="32"/>
  <c r="AI43" i="32" s="1"/>
  <c r="R1" i="50"/>
  <c r="R1" i="57"/>
  <c r="R1" i="59"/>
  <c r="R1" i="61"/>
  <c r="R1" i="55"/>
  <c r="R1" i="63"/>
  <c r="AG42" i="73"/>
  <c r="AU23" i="32"/>
  <c r="AU17" i="32" s="1"/>
  <c r="AU9" i="32"/>
  <c r="AU19" i="32"/>
  <c r="AG43" i="73"/>
  <c r="AG44" i="73"/>
  <c r="AX3" i="32"/>
  <c r="B20" i="32"/>
  <c r="L38" i="32" a="1"/>
  <c r="K54" i="32" a="1"/>
  <c r="E41" i="73"/>
  <c r="E42" i="73"/>
  <c r="AL32" i="73"/>
  <c r="AC34" i="73"/>
  <c r="AL34" i="73" s="1"/>
  <c r="B16" i="32"/>
  <c r="AF95" i="104"/>
  <c r="AF59" i="104"/>
  <c r="AF167" i="104"/>
  <c r="AF131" i="104"/>
  <c r="AF23" i="104"/>
  <c r="AF203" i="104"/>
  <c r="V95" i="104"/>
  <c r="V59" i="104"/>
  <c r="V131" i="104"/>
  <c r="V203" i="104"/>
  <c r="V167" i="104"/>
  <c r="V23" i="104"/>
  <c r="G20" i="52"/>
  <c r="G45" i="52"/>
  <c r="G47" i="52"/>
  <c r="G28" i="52"/>
  <c r="G6" i="52"/>
  <c r="G62" i="52"/>
  <c r="D34" i="52"/>
  <c r="G34" i="52"/>
  <c r="D11" i="52"/>
  <c r="G11" i="52"/>
  <c r="D35" i="52"/>
  <c r="G35" i="52"/>
  <c r="D40" i="52"/>
  <c r="G40" i="52"/>
  <c r="D52" i="52"/>
  <c r="G52" i="52"/>
  <c r="D8" i="52"/>
  <c r="G8" i="52"/>
  <c r="D63" i="52"/>
  <c r="G63" i="52"/>
  <c r="D49" i="52"/>
  <c r="G49" i="52"/>
  <c r="D10" i="52"/>
  <c r="G10" i="52"/>
  <c r="D50" i="52"/>
  <c r="G50" i="52"/>
  <c r="D4" i="52"/>
  <c r="G4" i="52"/>
  <c r="D38" i="52"/>
  <c r="G38" i="52"/>
  <c r="D17" i="52"/>
  <c r="G17" i="52"/>
  <c r="D61" i="52"/>
  <c r="G61" i="52"/>
  <c r="D43" i="52"/>
  <c r="G43" i="52"/>
  <c r="D58" i="52"/>
  <c r="G58" i="52"/>
  <c r="D55" i="52"/>
  <c r="G55" i="52"/>
  <c r="D33" i="52"/>
  <c r="G33" i="52"/>
  <c r="D65" i="52"/>
  <c r="G65" i="52"/>
  <c r="D26" i="52"/>
  <c r="G26" i="52"/>
  <c r="D51" i="52"/>
  <c r="G51" i="52"/>
  <c r="D14" i="52"/>
  <c r="G14" i="52"/>
  <c r="D53" i="52"/>
  <c r="G53" i="52"/>
  <c r="D7" i="52"/>
  <c r="D48" i="52"/>
  <c r="G48" i="52"/>
  <c r="D22" i="52"/>
  <c r="G22" i="52"/>
  <c r="D21" i="52"/>
  <c r="G21" i="52"/>
  <c r="D29" i="52"/>
  <c r="G29" i="52"/>
  <c r="D19" i="52"/>
  <c r="G19" i="52"/>
  <c r="D15" i="52"/>
  <c r="G15" i="52"/>
  <c r="D12" i="52"/>
  <c r="G12" i="52"/>
  <c r="D56" i="52"/>
  <c r="G56" i="52"/>
  <c r="D24" i="52"/>
  <c r="G24" i="52"/>
  <c r="D36" i="52"/>
  <c r="G36" i="52"/>
  <c r="D25" i="52"/>
  <c r="G25" i="52"/>
  <c r="D64" i="52"/>
  <c r="G64" i="52"/>
  <c r="D23" i="52"/>
  <c r="G23" i="52"/>
  <c r="D16" i="52"/>
  <c r="G16" i="52"/>
  <c r="D57" i="52"/>
  <c r="G57" i="52"/>
  <c r="D60" i="52"/>
  <c r="G60" i="52"/>
  <c r="D2" i="52"/>
  <c r="G2" i="52"/>
  <c r="D32" i="52"/>
  <c r="G32" i="52"/>
  <c r="D66" i="52"/>
  <c r="G66" i="52"/>
  <c r="D44" i="52"/>
  <c r="G44" i="52"/>
  <c r="D42" i="52"/>
  <c r="G42" i="52"/>
  <c r="D59" i="52"/>
  <c r="G59" i="52"/>
  <c r="D5" i="52"/>
  <c r="G5" i="52"/>
  <c r="D18" i="52"/>
  <c r="G18" i="52"/>
  <c r="D9" i="52"/>
  <c r="G9" i="52"/>
  <c r="D39" i="52"/>
  <c r="G39" i="52"/>
  <c r="D41" i="52"/>
  <c r="G41" i="52"/>
  <c r="D54" i="52"/>
  <c r="G54" i="52"/>
  <c r="D30" i="52"/>
  <c r="G30" i="52"/>
  <c r="D37" i="52"/>
  <c r="G37" i="52"/>
  <c r="D27" i="52"/>
  <c r="G27" i="52"/>
  <c r="D31" i="52"/>
  <c r="G31" i="52"/>
  <c r="D46" i="52"/>
  <c r="G46" i="52"/>
  <c r="D13" i="52"/>
  <c r="G13" i="52"/>
  <c r="D3" i="52"/>
  <c r="G3" i="52"/>
  <c r="X54" i="32" a="1"/>
  <c r="X54" i="32" s="1"/>
  <c r="W23" i="99"/>
  <c r="W95" i="99"/>
  <c r="AG95" i="99"/>
  <c r="AG23" i="99"/>
  <c r="V1" i="55"/>
  <c r="V1" i="57"/>
  <c r="V1" i="59"/>
  <c r="V1" i="63"/>
  <c r="V1" i="61"/>
  <c r="N11" i="50"/>
  <c r="N11" i="59"/>
  <c r="N12" i="50"/>
  <c r="N12" i="59"/>
  <c r="N10" i="50"/>
  <c r="N10" i="59"/>
  <c r="D28" i="52"/>
  <c r="D6" i="52"/>
  <c r="J16" i="32"/>
  <c r="I42" i="73"/>
  <c r="D62" i="52"/>
  <c r="C33" i="81"/>
  <c r="C29" i="81"/>
  <c r="B19" i="32"/>
  <c r="C31" i="81"/>
  <c r="W3" i="96"/>
  <c r="U9" i="96" s="1"/>
  <c r="B18" i="32"/>
  <c r="S27" i="81"/>
  <c r="AV19" i="32"/>
  <c r="V1" i="50"/>
  <c r="T54" i="32" a="1"/>
  <c r="T54" i="32" s="1"/>
  <c r="B37" i="81"/>
  <c r="AG59" i="99"/>
  <c r="B11" i="81"/>
  <c r="D11" i="81" s="1"/>
  <c r="AG131" i="99"/>
  <c r="W131" i="99"/>
  <c r="W167" i="99"/>
  <c r="K34" i="81"/>
  <c r="J20" i="32"/>
  <c r="W59" i="99"/>
  <c r="C34" i="81"/>
  <c r="W203" i="99"/>
  <c r="AG203" i="99"/>
  <c r="AG167" i="99"/>
  <c r="N18" i="81"/>
  <c r="AU10" i="32"/>
  <c r="S18" i="81"/>
  <c r="AU25" i="32"/>
  <c r="I18" i="81"/>
  <c r="D47" i="52"/>
  <c r="F14" i="81"/>
  <c r="S25" i="81"/>
  <c r="M42" i="73"/>
  <c r="M44" i="73" s="1"/>
  <c r="R1" i="79"/>
  <c r="S1" i="79" s="1"/>
  <c r="P1" i="79" s="1" a="1"/>
  <c r="P1" i="79" s="1"/>
  <c r="AU7" i="32"/>
  <c r="C17" i="81"/>
  <c r="S15" i="81"/>
  <c r="T15" i="81" s="1"/>
  <c r="S31" i="81"/>
  <c r="S32" i="81" s="1"/>
  <c r="AB4" i="32"/>
  <c r="AB29" i="32" s="1"/>
  <c r="S33" i="81"/>
  <c r="B9" i="32"/>
  <c r="S17" i="81"/>
  <c r="M41" i="73"/>
  <c r="O41" i="73" s="1"/>
  <c r="I41" i="73"/>
  <c r="K41" i="73" s="1"/>
  <c r="M57" i="73" a="1"/>
  <c r="I57" i="73" a="1"/>
  <c r="AX3" i="91" l="1"/>
  <c r="AY3" i="91" s="1"/>
  <c r="AY3" i="94"/>
  <c r="BA2" i="91"/>
  <c r="AY3" i="92"/>
  <c r="AY3" i="95"/>
  <c r="AX2" i="92"/>
  <c r="AZ2" i="92" s="1"/>
  <c r="BA2" i="92" s="1"/>
  <c r="BA2" i="95"/>
  <c r="DN4" i="61"/>
  <c r="DN3" i="61"/>
  <c r="DN4" i="59"/>
  <c r="DN3" i="59"/>
  <c r="DN4" i="57"/>
  <c r="DN3" i="57"/>
  <c r="DN4" i="63"/>
  <c r="DN3" i="63"/>
  <c r="DN3" i="55"/>
  <c r="DN4" i="55"/>
  <c r="DN4" i="50"/>
  <c r="DN3" i="50"/>
  <c r="S18" i="32"/>
  <c r="K58" i="94"/>
  <c r="K54" i="94"/>
  <c r="K55" i="94"/>
  <c r="K57" i="94"/>
  <c r="K56" i="94"/>
  <c r="K60" i="94" s="1"/>
  <c r="M36" i="95"/>
  <c r="L36" i="95"/>
  <c r="S8" i="92"/>
  <c r="AT17" i="92"/>
  <c r="S10" i="92"/>
  <c r="O71" i="94"/>
  <c r="O65" i="94"/>
  <c r="O66" i="94"/>
  <c r="O67" i="94"/>
  <c r="O70" i="94"/>
  <c r="O68" i="94"/>
  <c r="O69" i="94"/>
  <c r="M36" i="94"/>
  <c r="L36" i="94"/>
  <c r="L33" i="94"/>
  <c r="S18" i="95"/>
  <c r="AV7" i="95"/>
  <c r="AY21" i="95"/>
  <c r="AZ21" i="95"/>
  <c r="L33" i="92"/>
  <c r="AT17" i="93"/>
  <c r="S8" i="93"/>
  <c r="S10" i="93"/>
  <c r="L41" i="93"/>
  <c r="L42" i="93"/>
  <c r="L38" i="93"/>
  <c r="M38" i="93" s="1"/>
  <c r="L39" i="93"/>
  <c r="L40" i="93"/>
  <c r="L33" i="93"/>
  <c r="L41" i="94"/>
  <c r="L42" i="94"/>
  <c r="L40" i="94"/>
  <c r="L38" i="94"/>
  <c r="M38" i="94" s="1"/>
  <c r="L39" i="94"/>
  <c r="S18" i="92"/>
  <c r="AZ21" i="92"/>
  <c r="AV7" i="92"/>
  <c r="AY21" i="92"/>
  <c r="L33" i="95"/>
  <c r="AU17" i="91"/>
  <c r="AU24" i="91"/>
  <c r="K58" i="95"/>
  <c r="K57" i="95"/>
  <c r="K54" i="95"/>
  <c r="K55" i="95"/>
  <c r="K56" i="95"/>
  <c r="K60" i="95" s="1"/>
  <c r="J67" i="95"/>
  <c r="J68" i="94"/>
  <c r="J66" i="92"/>
  <c r="J67" i="91"/>
  <c r="J70" i="93"/>
  <c r="J68" i="91"/>
  <c r="J66" i="95"/>
  <c r="J67" i="94"/>
  <c r="J71" i="92"/>
  <c r="J65" i="92"/>
  <c r="J66" i="91"/>
  <c r="J69" i="93"/>
  <c r="J67" i="92"/>
  <c r="J71" i="95"/>
  <c r="J65" i="95"/>
  <c r="J66" i="94"/>
  <c r="J70" i="92"/>
  <c r="J71" i="91"/>
  <c r="J65" i="91"/>
  <c r="J68" i="93"/>
  <c r="J65" i="93"/>
  <c r="J70" i="95"/>
  <c r="J71" i="94"/>
  <c r="J65" i="94"/>
  <c r="J69" i="92"/>
  <c r="J70" i="91"/>
  <c r="J67" i="93"/>
  <c r="J68" i="95"/>
  <c r="J69" i="95"/>
  <c r="J70" i="94"/>
  <c r="J68" i="92"/>
  <c r="J69" i="91"/>
  <c r="J66" i="93"/>
  <c r="J69" i="94"/>
  <c r="J71" i="93"/>
  <c r="L41" i="95"/>
  <c r="L42" i="95"/>
  <c r="L39" i="95"/>
  <c r="L40" i="95"/>
  <c r="L38" i="95"/>
  <c r="M38" i="95" s="1"/>
  <c r="S18" i="94"/>
  <c r="AY21" i="94"/>
  <c r="AV7" i="94"/>
  <c r="AZ21" i="94"/>
  <c r="M36" i="92"/>
  <c r="L36" i="92"/>
  <c r="AV7" i="93"/>
  <c r="S18" i="93"/>
  <c r="AZ21" i="93"/>
  <c r="AY21" i="93"/>
  <c r="M36" i="91"/>
  <c r="L36" i="91"/>
  <c r="AT35" i="94"/>
  <c r="AT33" i="94"/>
  <c r="K58" i="92"/>
  <c r="K55" i="92"/>
  <c r="K56" i="92"/>
  <c r="K60" i="92" s="1"/>
  <c r="K57" i="92"/>
  <c r="K54" i="92"/>
  <c r="O71" i="95"/>
  <c r="O69" i="95"/>
  <c r="O70" i="95"/>
  <c r="O65" i="95"/>
  <c r="O68" i="95"/>
  <c r="O66" i="95"/>
  <c r="O67" i="95"/>
  <c r="AT35" i="95"/>
  <c r="AT33" i="95"/>
  <c r="L41" i="91"/>
  <c r="L42" i="91"/>
  <c r="L38" i="91"/>
  <c r="M38" i="91" s="1"/>
  <c r="L40" i="91"/>
  <c r="L39" i="91"/>
  <c r="AY21" i="91"/>
  <c r="S18" i="91"/>
  <c r="AZ21" i="91"/>
  <c r="AV7" i="91"/>
  <c r="AT17" i="94"/>
  <c r="S10" i="94"/>
  <c r="S8" i="94"/>
  <c r="AT35" i="93"/>
  <c r="AT33" i="93"/>
  <c r="AU24" i="95"/>
  <c r="AU17" i="95"/>
  <c r="M36" i="93"/>
  <c r="L36" i="93"/>
  <c r="K58" i="93"/>
  <c r="K57" i="93"/>
  <c r="K54" i="93"/>
  <c r="K55" i="93"/>
  <c r="K56" i="93"/>
  <c r="K60" i="93" s="1"/>
  <c r="S10" i="95"/>
  <c r="AT17" i="95"/>
  <c r="S8" i="95"/>
  <c r="AT35" i="92"/>
  <c r="AT33" i="92"/>
  <c r="S8" i="91"/>
  <c r="S10" i="91"/>
  <c r="AT17" i="91"/>
  <c r="K58" i="91"/>
  <c r="K57" i="91"/>
  <c r="K54" i="91"/>
  <c r="K55" i="91"/>
  <c r="K56" i="91"/>
  <c r="K60" i="91" s="1"/>
  <c r="AU24" i="94"/>
  <c r="AU17" i="94"/>
  <c r="AT35" i="91"/>
  <c r="AT33" i="91"/>
  <c r="L41" i="92"/>
  <c r="L42" i="92"/>
  <c r="L39" i="92"/>
  <c r="L40" i="92"/>
  <c r="L38" i="92"/>
  <c r="M38" i="92" s="1"/>
  <c r="AU24" i="93"/>
  <c r="AU17" i="93"/>
  <c r="AU24" i="92"/>
  <c r="AU17" i="92"/>
  <c r="L33" i="91"/>
  <c r="AC12" i="99" a="1"/>
  <c r="AC12" i="99" s="1"/>
  <c r="AJ13" i="99"/>
  <c r="AC13" i="99"/>
  <c r="L36" i="32"/>
  <c r="M36" i="32"/>
  <c r="AY3" i="32"/>
  <c r="I68" i="73"/>
  <c r="I80" i="73"/>
  <c r="I92" i="73"/>
  <c r="I97" i="73"/>
  <c r="I57" i="73"/>
  <c r="I69" i="73"/>
  <c r="I81" i="73"/>
  <c r="I93" i="73"/>
  <c r="I73" i="73"/>
  <c r="I86" i="73"/>
  <c r="I58" i="73"/>
  <c r="I70" i="73"/>
  <c r="I82" i="73"/>
  <c r="I94" i="73"/>
  <c r="I60" i="73"/>
  <c r="I84" i="73"/>
  <c r="I96" i="73"/>
  <c r="I59" i="73"/>
  <c r="I71" i="73"/>
  <c r="I83" i="73"/>
  <c r="I95" i="73"/>
  <c r="I72" i="73"/>
  <c r="I61" i="73"/>
  <c r="I62" i="73"/>
  <c r="I63" i="73"/>
  <c r="I75" i="73"/>
  <c r="I87" i="73"/>
  <c r="I99" i="73"/>
  <c r="I64" i="73"/>
  <c r="I76" i="73"/>
  <c r="I88" i="73"/>
  <c r="I100" i="73"/>
  <c r="I65" i="73"/>
  <c r="I77" i="73"/>
  <c r="I89" i="73"/>
  <c r="I66" i="73"/>
  <c r="I78" i="73"/>
  <c r="I90" i="73"/>
  <c r="I67" i="73"/>
  <c r="I79" i="73"/>
  <c r="I91" i="73"/>
  <c r="I85" i="73"/>
  <c r="I98" i="73"/>
  <c r="I74"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AU24" i="32"/>
  <c r="AB25" i="104"/>
  <c r="J71" i="32"/>
  <c r="J68" i="32"/>
  <c r="J65" i="32"/>
  <c r="J66" i="32"/>
  <c r="J69" i="32"/>
  <c r="J67" i="32"/>
  <c r="J70" i="32"/>
  <c r="G41" i="73"/>
  <c r="L38" i="32"/>
  <c r="M38" i="32" s="1"/>
  <c r="L40" i="32"/>
  <c r="L39" i="32"/>
  <c r="L42" i="32"/>
  <c r="L41" i="32"/>
  <c r="K54" i="32"/>
  <c r="K58" i="32"/>
  <c r="K55" i="32"/>
  <c r="K57" i="32"/>
  <c r="K56" i="32"/>
  <c r="K60" i="32" s="1"/>
  <c r="G7" i="32"/>
  <c r="AB23" i="50"/>
  <c r="AC15" i="99"/>
  <c r="W20" i="99" s="1"/>
  <c r="AB123" i="104"/>
  <c r="V128" i="104" s="1"/>
  <c r="AB84" i="104"/>
  <c r="X55" i="32"/>
  <c r="X56" i="32"/>
  <c r="AB195" i="104"/>
  <c r="V200" i="104" s="1"/>
  <c r="AB97" i="104"/>
  <c r="AB61" i="104"/>
  <c r="AB159" i="104"/>
  <c r="V164" i="104" s="1"/>
  <c r="AB48" i="104"/>
  <c r="AB15" i="104"/>
  <c r="V20" i="104" s="1"/>
  <c r="AB120" i="104"/>
  <c r="AB156" i="104"/>
  <c r="AB192" i="104"/>
  <c r="S8" i="32"/>
  <c r="AI13" i="104"/>
  <c r="AB13" i="104"/>
  <c r="AB12" i="104" a="1"/>
  <c r="AB12" i="104" s="1"/>
  <c r="S1" i="59"/>
  <c r="AB51" i="104"/>
  <c r="V56" i="104" s="1"/>
  <c r="AB169" i="104"/>
  <c r="AB87" i="104"/>
  <c r="V92" i="104" s="1"/>
  <c r="AB133" i="104"/>
  <c r="AB205" i="104"/>
  <c r="S1" i="55"/>
  <c r="S1" i="50"/>
  <c r="S1" i="61"/>
  <c r="AC133" i="99"/>
  <c r="S1" i="63"/>
  <c r="S1" i="57"/>
  <c r="AC169" i="99"/>
  <c r="AC97" i="99"/>
  <c r="AB17" i="59"/>
  <c r="AB17" i="57"/>
  <c r="AB17" i="55"/>
  <c r="AB17" i="61"/>
  <c r="AB17" i="63"/>
  <c r="AC205" i="99"/>
  <c r="I43" i="73"/>
  <c r="I44" i="73"/>
  <c r="E44" i="73"/>
  <c r="E43" i="73"/>
  <c r="AC48" i="99"/>
  <c r="AC195" i="99"/>
  <c r="W200" i="99" s="1"/>
  <c r="AC120" i="99"/>
  <c r="AC84" i="99"/>
  <c r="S10" i="32"/>
  <c r="AC123" i="99"/>
  <c r="W128" i="99" s="1"/>
  <c r="AC159" i="99"/>
  <c r="W164" i="99" s="1"/>
  <c r="AC156" i="99"/>
  <c r="AC192" i="99"/>
  <c r="AC51" i="99"/>
  <c r="W56" i="99" s="1"/>
  <c r="AC25" i="99"/>
  <c r="Z7" i="96" a="1"/>
  <c r="Z16" i="96" s="1"/>
  <c r="AT35" i="32"/>
  <c r="AC87" i="99"/>
  <c r="W92" i="99" s="1"/>
  <c r="U10" i="96"/>
  <c r="V19" i="96" s="1"/>
  <c r="M32" i="96" s="1"/>
  <c r="AT33" i="32"/>
  <c r="T55" i="32"/>
  <c r="T56" i="32"/>
  <c r="W38" i="81"/>
  <c r="AC61" i="99"/>
  <c r="B35" i="81"/>
  <c r="M43" i="73"/>
  <c r="AY21" i="32"/>
  <c r="AV7" i="32"/>
  <c r="AZ21" i="32"/>
  <c r="AE1" i="52"/>
  <c r="AE2" i="52"/>
  <c r="AE8" i="52"/>
  <c r="AE3" i="52"/>
  <c r="AE5" i="52"/>
  <c r="AE4" i="52"/>
  <c r="AE7" i="52"/>
  <c r="AD54" i="32" a="1"/>
  <c r="AD54" i="91" a="1"/>
  <c r="AD54" i="95" a="1"/>
  <c r="AD54" i="92" a="1"/>
  <c r="AD54" i="94" a="1"/>
  <c r="AD54" i="93" a="1"/>
  <c r="E57" i="73" a="1"/>
  <c r="O65" i="92" l="1" a="1"/>
  <c r="O65" i="92" s="1"/>
  <c r="O65" i="32" a="1"/>
  <c r="O65" i="32" s="1"/>
  <c r="L30" i="95"/>
  <c r="P36" i="94" a="1"/>
  <c r="P36" i="94" s="1"/>
  <c r="P36" i="95" a="1"/>
  <c r="P36" i="95" s="1"/>
  <c r="L30" i="92"/>
  <c r="L30" i="91"/>
  <c r="P36" i="92" a="1"/>
  <c r="P36" i="92" s="1"/>
  <c r="L30" i="94"/>
  <c r="L30" i="93"/>
  <c r="AD59" i="91"/>
  <c r="AD80" i="91"/>
  <c r="AD77" i="91"/>
  <c r="AD62" i="91"/>
  <c r="AD60" i="91"/>
  <c r="AD94" i="91"/>
  <c r="AD88" i="91"/>
  <c r="AD85" i="91"/>
  <c r="AD82" i="91"/>
  <c r="AD76" i="91"/>
  <c r="AD73" i="91"/>
  <c r="AD71" i="91"/>
  <c r="AD68" i="91"/>
  <c r="AD65" i="91"/>
  <c r="AD97" i="91"/>
  <c r="AD91" i="91"/>
  <c r="AD56" i="91"/>
  <c r="AD70" i="91"/>
  <c r="AD79" i="91"/>
  <c r="AD64" i="91"/>
  <c r="AD61" i="91"/>
  <c r="AD57" i="91"/>
  <c r="AD84" i="91"/>
  <c r="AD58" i="91"/>
  <c r="AD67" i="91"/>
  <c r="AD72" i="91"/>
  <c r="AD93" i="91"/>
  <c r="AD55" i="91"/>
  <c r="AD87" i="91"/>
  <c r="AD75" i="91"/>
  <c r="AD69" i="91"/>
  <c r="AD95" i="91"/>
  <c r="AD81" i="91"/>
  <c r="AD78" i="91"/>
  <c r="AD90" i="91"/>
  <c r="AD66" i="91"/>
  <c r="AD63" i="91"/>
  <c r="AD92" i="91"/>
  <c r="AD74" i="91"/>
  <c r="AD83" i="91"/>
  <c r="AD96" i="91"/>
  <c r="AD54" i="91"/>
  <c r="AD86" i="91"/>
  <c r="AD89" i="91"/>
  <c r="AD58" i="92"/>
  <c r="AD79" i="92"/>
  <c r="AD63" i="92"/>
  <c r="AD96" i="92"/>
  <c r="AD60" i="92"/>
  <c r="AD88" i="92"/>
  <c r="AD55" i="92"/>
  <c r="AD76" i="92"/>
  <c r="AD81" i="92"/>
  <c r="AD87" i="92"/>
  <c r="AD64" i="92"/>
  <c r="AD91" i="92"/>
  <c r="AD67" i="92"/>
  <c r="AD93" i="92"/>
  <c r="AD69" i="92"/>
  <c r="AD90" i="92"/>
  <c r="AD72" i="92"/>
  <c r="AD65" i="92"/>
  <c r="AD95" i="92"/>
  <c r="AD57" i="92"/>
  <c r="AD78" i="92"/>
  <c r="AD86" i="92"/>
  <c r="AD92" i="92"/>
  <c r="AD66" i="92"/>
  <c r="AD74" i="92"/>
  <c r="AD80" i="92"/>
  <c r="AD68" i="92"/>
  <c r="AD94" i="92"/>
  <c r="AD56" i="92"/>
  <c r="AD89" i="92"/>
  <c r="AD85" i="92"/>
  <c r="AD61" i="92"/>
  <c r="AD83" i="92"/>
  <c r="AD54" i="92"/>
  <c r="AD62" i="92"/>
  <c r="AD71" i="92"/>
  <c r="AD59" i="92"/>
  <c r="AD84" i="92"/>
  <c r="AD97" i="92"/>
  <c r="AD82" i="92"/>
  <c r="AD75" i="92"/>
  <c r="AD77" i="92"/>
  <c r="AD73" i="92"/>
  <c r="AD70" i="92"/>
  <c r="AD82" i="94"/>
  <c r="AD91" i="94"/>
  <c r="AD88" i="94"/>
  <c r="AD72" i="94"/>
  <c r="AD70" i="94"/>
  <c r="AD79" i="94"/>
  <c r="AD76" i="94"/>
  <c r="AD65" i="94"/>
  <c r="AD60" i="94"/>
  <c r="AD58" i="94"/>
  <c r="AD67" i="94"/>
  <c r="AD64" i="94"/>
  <c r="AD62" i="94"/>
  <c r="AD55" i="94"/>
  <c r="AD87" i="94"/>
  <c r="AD93" i="94"/>
  <c r="AD90" i="94"/>
  <c r="AD75" i="94"/>
  <c r="AD56" i="94"/>
  <c r="AD81" i="94"/>
  <c r="AD78" i="94"/>
  <c r="AD63" i="94"/>
  <c r="AD80" i="94"/>
  <c r="AD95" i="94"/>
  <c r="AD69" i="94"/>
  <c r="AD66" i="94"/>
  <c r="AD97" i="94"/>
  <c r="AD94" i="94"/>
  <c r="AD84" i="94"/>
  <c r="AD83" i="94"/>
  <c r="AD57" i="94"/>
  <c r="AD54" i="94"/>
  <c r="AD85" i="94"/>
  <c r="AD61" i="94"/>
  <c r="AD71" i="94"/>
  <c r="AD92" i="94"/>
  <c r="AD74" i="94"/>
  <c r="AD73" i="94"/>
  <c r="AD89" i="94"/>
  <c r="AD59" i="94"/>
  <c r="AD86" i="94"/>
  <c r="AD68" i="94"/>
  <c r="AD77" i="94"/>
  <c r="AD96" i="94"/>
  <c r="AD71" i="95"/>
  <c r="AD68" i="95"/>
  <c r="AD65" i="95"/>
  <c r="AD73" i="95"/>
  <c r="AD56" i="95"/>
  <c r="AD88" i="95"/>
  <c r="AD61" i="95"/>
  <c r="AD85" i="95"/>
  <c r="AD59" i="95"/>
  <c r="AD94" i="95"/>
  <c r="AD91" i="95"/>
  <c r="AD76" i="95"/>
  <c r="AD96" i="95"/>
  <c r="AD82" i="95"/>
  <c r="AD79" i="95"/>
  <c r="AD64" i="95"/>
  <c r="AD84" i="95"/>
  <c r="AD70" i="95"/>
  <c r="AD67" i="95"/>
  <c r="AD87" i="95"/>
  <c r="AD72" i="95"/>
  <c r="AD80" i="95"/>
  <c r="AD58" i="95"/>
  <c r="AD55" i="95"/>
  <c r="AD75" i="95"/>
  <c r="AD60" i="95"/>
  <c r="AD93" i="95"/>
  <c r="AD90" i="95"/>
  <c r="AD63" i="95"/>
  <c r="AD83" i="95"/>
  <c r="AD81" i="95"/>
  <c r="AD78" i="95"/>
  <c r="AD86" i="95"/>
  <c r="AD69" i="95"/>
  <c r="AD66" i="95"/>
  <c r="AD74" i="95"/>
  <c r="AD57" i="95"/>
  <c r="AD54" i="95"/>
  <c r="AD62" i="95"/>
  <c r="AD95" i="95"/>
  <c r="AD92" i="95"/>
  <c r="AD89" i="95"/>
  <c r="AD97" i="95"/>
  <c r="AD77" i="95"/>
  <c r="AD42" i="95"/>
  <c r="AD44" i="95"/>
  <c r="AD44" i="91"/>
  <c r="AD42" i="91"/>
  <c r="AD42" i="92"/>
  <c r="AD44" i="92"/>
  <c r="P36" i="93" a="1"/>
  <c r="P36" i="93" s="1"/>
  <c r="AD42" i="93"/>
  <c r="AD44" i="93"/>
  <c r="P36" i="91" a="1"/>
  <c r="P36" i="91" s="1"/>
  <c r="AD42" i="94"/>
  <c r="AD44" i="94"/>
  <c r="AD81" i="93"/>
  <c r="AD90" i="93"/>
  <c r="AD75" i="93"/>
  <c r="AD69" i="93"/>
  <c r="AD78" i="93"/>
  <c r="AD63" i="93"/>
  <c r="AD95" i="93"/>
  <c r="AD57" i="93"/>
  <c r="AD66" i="93"/>
  <c r="AD84" i="93"/>
  <c r="AD93" i="93"/>
  <c r="AD83" i="93"/>
  <c r="AD60" i="93"/>
  <c r="AD54" i="93"/>
  <c r="AD86" i="93"/>
  <c r="AD80" i="93"/>
  <c r="AD71" i="93"/>
  <c r="AD92" i="93"/>
  <c r="AD72" i="93"/>
  <c r="AD74" i="93"/>
  <c r="AD89" i="93"/>
  <c r="AD87" i="93"/>
  <c r="AD59" i="93"/>
  <c r="AD62" i="93"/>
  <c r="AD96" i="93"/>
  <c r="AD68" i="93"/>
  <c r="AD77" i="93"/>
  <c r="AD97" i="93"/>
  <c r="AD94" i="93"/>
  <c r="AD56" i="93"/>
  <c r="AD65" i="93"/>
  <c r="AD85" i="93"/>
  <c r="AD82" i="93"/>
  <c r="AD91" i="93"/>
  <c r="AD88" i="93"/>
  <c r="AD73" i="93"/>
  <c r="AD70" i="93"/>
  <c r="AD79" i="93"/>
  <c r="AD76" i="93"/>
  <c r="AD61" i="93"/>
  <c r="AD55" i="93"/>
  <c r="AD58" i="93"/>
  <c r="AD67" i="93"/>
  <c r="AD64" i="93"/>
  <c r="AD65" i="32"/>
  <c r="AD56" i="32"/>
  <c r="AD82" i="32"/>
  <c r="AD74" i="32"/>
  <c r="AD83" i="32"/>
  <c r="AD92" i="32"/>
  <c r="AD95" i="32"/>
  <c r="AD87" i="32"/>
  <c r="AD78" i="32"/>
  <c r="AD84" i="32"/>
  <c r="AD90" i="32"/>
  <c r="AD96" i="32"/>
  <c r="AD81" i="32"/>
  <c r="AD61" i="32"/>
  <c r="AD67" i="32"/>
  <c r="AD73" i="32"/>
  <c r="AD59" i="32"/>
  <c r="AD91" i="32"/>
  <c r="AD97" i="32"/>
  <c r="AD70" i="32"/>
  <c r="AD62" i="32"/>
  <c r="AD77" i="32"/>
  <c r="AD68" i="32"/>
  <c r="AD94" i="32"/>
  <c r="AD86" i="32"/>
  <c r="AD80" i="32"/>
  <c r="AD63" i="32"/>
  <c r="AD54" i="32"/>
  <c r="AD60" i="32"/>
  <c r="AD75" i="32"/>
  <c r="AD66" i="32"/>
  <c r="AD72" i="32"/>
  <c r="AD57" i="32"/>
  <c r="AD64" i="32"/>
  <c r="AD69" i="32"/>
  <c r="AD76" i="32"/>
  <c r="AD55" i="32"/>
  <c r="AD88" i="32"/>
  <c r="AD93" i="32"/>
  <c r="AD79" i="32"/>
  <c r="AD85" i="32"/>
  <c r="AD58" i="32"/>
  <c r="AD71" i="32"/>
  <c r="AD89" i="32"/>
  <c r="E59" i="73"/>
  <c r="E71" i="73"/>
  <c r="E83" i="73"/>
  <c r="E95" i="73"/>
  <c r="E65" i="73"/>
  <c r="E60" i="73"/>
  <c r="E72" i="73"/>
  <c r="E84" i="73"/>
  <c r="E96" i="73"/>
  <c r="E61" i="73"/>
  <c r="E73" i="73"/>
  <c r="E85" i="73"/>
  <c r="E97" i="73"/>
  <c r="E63" i="73"/>
  <c r="E75" i="73"/>
  <c r="E87" i="73"/>
  <c r="E99" i="73"/>
  <c r="E64" i="73"/>
  <c r="E62" i="73"/>
  <c r="E74" i="73"/>
  <c r="E86" i="73"/>
  <c r="E98" i="73"/>
  <c r="E76" i="73"/>
  <c r="E88" i="73"/>
  <c r="E100" i="73"/>
  <c r="E66" i="73"/>
  <c r="E78" i="73"/>
  <c r="E90" i="73"/>
  <c r="E67" i="73"/>
  <c r="E79" i="73"/>
  <c r="E91" i="73"/>
  <c r="E68" i="73"/>
  <c r="E80" i="73"/>
  <c r="E92" i="73"/>
  <c r="E57" i="73"/>
  <c r="E69" i="73"/>
  <c r="E81" i="73"/>
  <c r="E93" i="73"/>
  <c r="E58" i="73"/>
  <c r="E70" i="73"/>
  <c r="E82" i="73"/>
  <c r="E94" i="73"/>
  <c r="E77" i="73"/>
  <c r="E89" i="73"/>
  <c r="P1" i="59" a="1"/>
  <c r="P1" i="59" s="1"/>
  <c r="AE41" i="32"/>
  <c r="AD42" i="32"/>
  <c r="AD44" i="32"/>
  <c r="P36" i="32" a="1"/>
  <c r="P36" i="32" s="1"/>
  <c r="P1" i="61" a="1"/>
  <c r="P1" i="61" s="1"/>
  <c r="P1" i="57" a="1"/>
  <c r="P1" i="57" s="1"/>
  <c r="P1" i="55" a="1"/>
  <c r="P1" i="55" s="1"/>
  <c r="P1" i="63" a="1"/>
  <c r="P1" i="63" s="1"/>
  <c r="P1" i="50" a="1"/>
  <c r="P1" i="50" s="1"/>
  <c r="O43" i="73"/>
  <c r="AC26" i="73" s="1"/>
  <c r="AL26" i="73" s="1"/>
  <c r="Z32" i="96"/>
  <c r="Z22" i="96"/>
  <c r="Z21" i="96"/>
  <c r="Z46" i="96"/>
  <c r="Z29" i="96"/>
  <c r="Z64" i="96"/>
  <c r="Z39" i="96"/>
  <c r="Z63" i="96"/>
  <c r="Z54" i="96"/>
  <c r="Z36" i="96"/>
  <c r="Z43" i="96"/>
  <c r="Z31" i="96"/>
  <c r="Z19" i="96"/>
  <c r="Z44" i="96"/>
  <c r="Z52" i="96"/>
  <c r="Z17" i="96"/>
  <c r="Z51" i="96"/>
  <c r="Z30" i="96"/>
  <c r="Z59" i="96"/>
  <c r="Z28" i="96"/>
  <c r="Z38" i="96"/>
  <c r="Z8" i="96"/>
  <c r="Z57" i="96"/>
  <c r="Z34" i="96"/>
  <c r="Z62" i="96"/>
  <c r="Z41" i="96"/>
  <c r="Z33" i="96"/>
  <c r="Z49" i="96"/>
  <c r="Z18" i="96"/>
  <c r="Z37" i="96"/>
  <c r="Z42" i="96"/>
  <c r="Z55" i="96"/>
  <c r="Z15" i="96"/>
  <c r="Z11" i="96"/>
  <c r="Z50" i="96"/>
  <c r="Z26" i="96"/>
  <c r="Z60" i="96"/>
  <c r="Z58" i="96"/>
  <c r="Z9" i="96"/>
  <c r="Z12" i="96"/>
  <c r="Z45" i="96"/>
  <c r="Z13" i="96"/>
  <c r="Z35" i="96"/>
  <c r="Z25" i="96"/>
  <c r="Z40" i="96"/>
  <c r="Z56" i="96"/>
  <c r="Z27" i="96"/>
  <c r="Z7" i="96"/>
  <c r="Z61" i="96"/>
  <c r="Z24" i="96"/>
  <c r="Z48" i="96"/>
  <c r="Z53" i="96"/>
  <c r="Z14" i="96"/>
  <c r="Z10" i="96"/>
  <c r="Z20" i="96"/>
  <c r="Z23" i="96"/>
  <c r="Z47" i="96"/>
  <c r="T59" i="32"/>
  <c r="O44" i="73"/>
  <c r="AC24" i="73" s="1"/>
  <c r="T36" i="32" a="1"/>
  <c r="T48" i="92" l="1"/>
  <c r="T48" i="91"/>
  <c r="T48" i="95"/>
  <c r="T48" i="94"/>
  <c r="T48" i="93"/>
  <c r="AU31" i="91"/>
  <c r="AF36" i="91"/>
  <c r="AF40" i="91"/>
  <c r="AE40" i="91" s="1"/>
  <c r="AF37" i="91"/>
  <c r="AF38" i="91"/>
  <c r="AE38" i="91" s="1"/>
  <c r="AF39" i="91"/>
  <c r="AE39" i="91" s="1"/>
  <c r="AU31" i="95"/>
  <c r="AF40" i="95"/>
  <c r="AE40" i="95" s="1"/>
  <c r="AF39" i="95"/>
  <c r="AE39" i="95" s="1"/>
  <c r="AF37" i="95"/>
  <c r="AF36" i="95"/>
  <c r="AF38" i="95"/>
  <c r="AE38" i="95" s="1"/>
  <c r="AU31" i="94"/>
  <c r="AF36" i="94"/>
  <c r="AF40" i="94"/>
  <c r="AE40" i="94" s="1"/>
  <c r="AF37" i="94"/>
  <c r="AF39" i="94"/>
  <c r="AE39" i="94" s="1"/>
  <c r="AF38" i="94"/>
  <c r="AE38" i="94" s="1"/>
  <c r="AF39" i="93"/>
  <c r="AE39" i="93" s="1"/>
  <c r="AF37" i="93"/>
  <c r="AF38" i="93"/>
  <c r="AE38" i="93" s="1"/>
  <c r="AU31" i="93"/>
  <c r="AF36" i="93"/>
  <c r="AF40" i="93"/>
  <c r="AE40" i="93" s="1"/>
  <c r="AU31" i="92"/>
  <c r="AF40" i="92"/>
  <c r="AE40" i="92" s="1"/>
  <c r="AF39" i="92"/>
  <c r="AE39" i="92" s="1"/>
  <c r="AF37" i="92"/>
  <c r="AF36" i="92"/>
  <c r="AF38" i="92"/>
  <c r="AE38" i="92" s="1"/>
  <c r="AF40" i="32"/>
  <c r="AE40" i="32" s="1"/>
  <c r="AF39" i="32"/>
  <c r="AE39" i="32" s="1"/>
  <c r="AF38" i="32"/>
  <c r="AE38" i="32" s="1"/>
  <c r="AF37" i="32"/>
  <c r="AF36" i="32"/>
  <c r="AU31" i="32"/>
  <c r="T36" i="32"/>
  <c r="T39" i="32"/>
  <c r="T42" i="32"/>
  <c r="T38" i="32"/>
  <c r="T40" i="32"/>
  <c r="T41" i="32"/>
  <c r="T44" i="32"/>
  <c r="T37" i="32"/>
  <c r="T43" i="32"/>
  <c r="T48" i="32"/>
  <c r="AL24" i="73"/>
  <c r="AL37" i="73" s="1"/>
  <c r="T36" i="95" a="1"/>
  <c r="T36" i="94" a="1"/>
  <c r="T36" i="93" a="1"/>
  <c r="T36" i="92" a="1"/>
  <c r="T36" i="91" a="1"/>
  <c r="T37" i="93" l="1"/>
  <c r="T36" i="93"/>
  <c r="T38" i="93"/>
  <c r="T39" i="93"/>
  <c r="T42" i="93"/>
  <c r="T40" i="93"/>
  <c r="T44" i="93"/>
  <c r="T43" i="93"/>
  <c r="T41" i="93"/>
  <c r="T36" i="94"/>
  <c r="T38" i="94"/>
  <c r="T44" i="94"/>
  <c r="T40" i="94"/>
  <c r="T42" i="94"/>
  <c r="T41" i="94"/>
  <c r="T37" i="94"/>
  <c r="T43" i="94"/>
  <c r="T39" i="94"/>
  <c r="T37" i="95"/>
  <c r="T38" i="95"/>
  <c r="T41" i="95"/>
  <c r="T36" i="95"/>
  <c r="T44" i="95"/>
  <c r="T42" i="95"/>
  <c r="T40" i="95"/>
  <c r="T43" i="95"/>
  <c r="T39" i="95"/>
  <c r="T36" i="91"/>
  <c r="T44" i="91"/>
  <c r="T38" i="91"/>
  <c r="T41" i="91"/>
  <c r="T42" i="91"/>
  <c r="T39" i="91"/>
  <c r="T37" i="91"/>
  <c r="T40" i="91"/>
  <c r="T43" i="91"/>
  <c r="T42" i="92"/>
  <c r="T41" i="92"/>
  <c r="T43" i="92"/>
  <c r="T39" i="92"/>
  <c r="T38" i="92"/>
  <c r="T40" i="92"/>
  <c r="T37" i="92"/>
  <c r="T36" i="92"/>
  <c r="T44" i="92"/>
  <c r="AZ2" i="32"/>
  <c r="E55" i="73"/>
  <c r="E48" i="73" s="1"/>
  <c r="M55" i="73"/>
  <c r="M48" i="73" s="1"/>
  <c r="I55" i="73"/>
  <c r="I48" i="73" s="1"/>
  <c r="AY2" i="32"/>
  <c r="AT13" i="32"/>
  <c r="B19" i="81"/>
  <c r="AT17" i="32"/>
  <c r="B15" i="81"/>
  <c r="M47" i="81" s="1"/>
  <c r="AL39" i="73" l="1"/>
  <c r="BA2" i="32"/>
  <c r="AT11" i="32" s="1"/>
  <c r="L30" i="32" s="1"/>
  <c r="L33" i="32"/>
  <c r="AH5" i="71" l="1"/>
  <c r="AB18" i="104"/>
  <c r="AI18" i="104" s="1"/>
  <c r="AH7" i="71" l="1"/>
  <c r="X4" i="99" s="1"/>
  <c r="W4" i="10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<sst xmlns="http://schemas.openxmlformats.org/spreadsheetml/2006/main" count="22609" uniqueCount="4655">
  <si>
    <t>45° clip</t>
  </si>
  <si>
    <t>FGV</t>
  </si>
  <si>
    <t>BLUM</t>
  </si>
  <si>
    <t xml:space="preserve">Šířka </t>
  </si>
  <si>
    <t>Počet kusů</t>
  </si>
  <si>
    <t>Typ skla</t>
  </si>
  <si>
    <t>Sklo</t>
  </si>
  <si>
    <t>Posuvné rámečky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</si>
  <si>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</si>
  <si>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</si>
  <si>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</si>
  <si>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</si>
  <si>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</si>
  <si>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</si>
  <si>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</si>
  <si>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</si>
  <si>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</si>
  <si>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</si>
  <si>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</si>
  <si>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</si>
  <si>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</si>
  <si>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</si>
  <si>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</si>
  <si>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</si>
  <si>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</si>
  <si>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</si>
  <si>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</si>
  <si>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</si>
  <si>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ZC nová</t>
  </si>
  <si>
    <t>Lacobel RAL 1015</t>
  </si>
  <si>
    <t>Lacobel RAL 9010</t>
  </si>
  <si>
    <t>Lacobel REF 1236</t>
  </si>
  <si>
    <t>Lacobel RAL 7035</t>
  </si>
  <si>
    <t>Lacobel REF 0337</t>
  </si>
  <si>
    <t>Lacobel REF 0627</t>
  </si>
  <si>
    <t>Lacobel RAL 1013</t>
  </si>
  <si>
    <t>Lacobel RAL 9003</t>
  </si>
  <si>
    <t>Lacobel RAL 9006</t>
  </si>
  <si>
    <t>Lacobel RAL 9005</t>
  </si>
  <si>
    <t>Lacobel REF 1586</t>
  </si>
  <si>
    <t>Matelac RAL 9003</t>
  </si>
  <si>
    <t>Matelac RAL 9005</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</si>
  <si>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</si>
  <si>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</si>
  <si>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</si>
  <si>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</si>
  <si>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</si>
  <si>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</si>
  <si>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</si>
  <si>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</si>
  <si>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</si>
  <si>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</si>
  <si>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</si>
  <si>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AVENTOS HF</t>
  </si>
  <si>
    <t>AVENTOS HKS</t>
  </si>
  <si>
    <t>AVENTOS HL</t>
  </si>
  <si>
    <t>AVENTOS HS</t>
  </si>
  <si>
    <t>STRONG</t>
  </si>
  <si>
    <t>92590T</t>
  </si>
  <si>
    <t>92580T</t>
  </si>
  <si>
    <t>92581T</t>
  </si>
  <si>
    <t>92582T</t>
  </si>
  <si>
    <t>92594T</t>
  </si>
  <si>
    <t>92583T</t>
  </si>
  <si>
    <t>92591T</t>
  </si>
  <si>
    <t>Naložený clip</t>
  </si>
  <si>
    <t>Polonaložený clip</t>
  </si>
  <si>
    <t>Vložený clip</t>
  </si>
  <si>
    <t>Úhel 45°</t>
  </si>
  <si>
    <t>Naložený</t>
  </si>
  <si>
    <t>Polonaložený</t>
  </si>
  <si>
    <t>Vložený</t>
  </si>
  <si>
    <t>Naložený s opačnou pružinou</t>
  </si>
  <si>
    <t>Vložený s opačnou pružinou</t>
  </si>
  <si>
    <t>Naložený bez pružiny</t>
  </si>
  <si>
    <t>kód</t>
  </si>
  <si>
    <t>PL</t>
  </si>
  <si>
    <t>HU</t>
  </si>
  <si>
    <t>92593T</t>
  </si>
  <si>
    <t>92592T</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</si>
  <si>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</si>
  <si>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</si>
  <si>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</si>
  <si>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</si>
  <si>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</si>
  <si>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</si>
  <si>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</si>
  <si>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</si>
  <si>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</si>
  <si>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</si>
  <si>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</si>
  <si>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</si>
  <si>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</si>
  <si>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</si>
  <si>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</si>
  <si>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</si>
  <si>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</si>
  <si>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Výrobce závěsů</t>
  </si>
  <si>
    <t>Typ závěsů</t>
  </si>
  <si>
    <t>Typ Aventosu</t>
  </si>
  <si>
    <t>Typ podložky</t>
  </si>
  <si>
    <t>Dodat včetně uvedeného kování</t>
  </si>
  <si>
    <t>Zvedací písty</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</si>
  <si>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</si>
  <si>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</si>
  <si>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</si>
  <si>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</si>
  <si>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</si>
  <si>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</si>
  <si>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</si>
  <si>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</si>
  <si>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</si>
  <si>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</si>
  <si>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</si>
  <si>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</si>
  <si>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CZ</t>
  </si>
  <si>
    <t>SK</t>
  </si>
  <si>
    <t>Provedení druhého dvířka</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</si>
  <si>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</si>
  <si>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</si>
  <si>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</si>
  <si>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</si>
  <si>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</si>
  <si>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</si>
  <si>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</si>
  <si>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</si>
  <si>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</si>
  <si>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</si>
  <si>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</si>
  <si>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</si>
  <si>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</si>
  <si>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</si>
  <si>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</si>
  <si>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</si>
  <si>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</si>
  <si>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</si>
  <si>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</si>
  <si>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</si>
  <si>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</si>
  <si>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</si>
  <si>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</si>
  <si>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</si>
  <si>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</si>
  <si>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</si>
  <si>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</si>
  <si>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</si>
  <si>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</si>
  <si>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</si>
  <si>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</si>
  <si>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</si>
  <si>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</si>
  <si>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</si>
  <si>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</si>
  <si>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</si>
  <si>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</si>
  <si>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</si>
  <si>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</si>
  <si>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</si>
  <si>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</si>
  <si>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</si>
  <si>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</si>
  <si>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</si>
  <si>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</si>
  <si>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</si>
  <si>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</si>
  <si>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</si>
  <si>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</si>
  <si>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</si>
  <si>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</si>
  <si>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</si>
  <si>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</si>
  <si>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</si>
  <si>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</si>
  <si>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</si>
  <si>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</si>
  <si>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</si>
  <si>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</si>
  <si>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</si>
  <si>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</si>
  <si>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</si>
  <si>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</si>
  <si>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</si>
  <si>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</si>
  <si>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</si>
  <si>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</si>
  <si>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</si>
  <si>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</si>
  <si>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</si>
  <si>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</si>
  <si>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</si>
  <si>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</si>
  <si>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</si>
  <si>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</si>
  <si>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</si>
  <si>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</si>
  <si>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</si>
  <si>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</si>
  <si>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</si>
  <si>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</si>
  <si>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</si>
  <si>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</si>
  <si>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</si>
  <si>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</si>
  <si>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</si>
  <si>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</si>
  <si>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</si>
  <si>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</si>
  <si>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</si>
  <si>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</si>
  <si>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</si>
  <si>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</si>
  <si>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</si>
  <si>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</si>
  <si>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</si>
  <si>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</si>
  <si>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</si>
  <si>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</si>
  <si>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</si>
  <si>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</si>
  <si>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</si>
  <si>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</si>
  <si>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</si>
  <si>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</si>
  <si>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</si>
  <si>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</si>
  <si>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</si>
  <si>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</si>
  <si>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</si>
  <si>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</si>
  <si>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</si>
  <si>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</si>
  <si>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</si>
  <si>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</si>
  <si>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</si>
  <si>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</si>
  <si>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</si>
  <si>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</si>
  <si>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</si>
  <si>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</si>
  <si>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</si>
  <si>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</si>
  <si>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</si>
  <si>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 xml:space="preserve">Clip na wkręt euro H0 </t>
  </si>
  <si>
    <t>Clip na wkręt H0</t>
  </si>
  <si>
    <t>Marka zawiasu</t>
  </si>
  <si>
    <t>Rodzaj zawiasu</t>
  </si>
  <si>
    <t>Rodzaj Aventosu</t>
  </si>
  <si>
    <t>Rodzaj prowadnika</t>
  </si>
  <si>
    <t>Ilość zawiasów na 1 ramkę</t>
  </si>
  <si>
    <t>Podnośniki gazowe</t>
  </si>
  <si>
    <t>W prawo</t>
  </si>
  <si>
    <t>W lewo</t>
  </si>
  <si>
    <t>2 sztuki (obydwie strony)</t>
  </si>
  <si>
    <t>Wąska ALU ramka</t>
  </si>
  <si>
    <t>Szeroka ALU ramka</t>
  </si>
  <si>
    <t>MDF grubość 16mm</t>
  </si>
  <si>
    <t>MDF grubość 18mm</t>
  </si>
  <si>
    <t>Umieszczenie zawiasu</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</si>
  <si>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</si>
  <si>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</si>
  <si>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</si>
  <si>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</si>
  <si>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</si>
  <si>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</si>
  <si>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</si>
  <si>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</si>
  <si>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</si>
  <si>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</si>
  <si>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</si>
  <si>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</si>
  <si>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grafit</t>
  </si>
  <si>
    <t>Matelac zrkadlo bronz</t>
  </si>
  <si>
    <t>Matelac zrkadlo grafit</t>
  </si>
  <si>
    <t xml:space="preserve">Vyplňte pouze pokud nebude vrtání symetricky na střed </t>
  </si>
  <si>
    <t>Typ okucia</t>
  </si>
  <si>
    <t>Rodzaj drugiej ramki</t>
  </si>
  <si>
    <t>Dostarczyć łącznie z podanymi okuciami meblowymi</t>
  </si>
  <si>
    <t>Üveg típus</t>
  </si>
  <si>
    <t>Szélesség</t>
  </si>
  <si>
    <t>Magasság</t>
  </si>
  <si>
    <t>A keretek ára összesen</t>
  </si>
  <si>
    <t>A vasalat ára összesen</t>
  </si>
  <si>
    <t>A megrendelés teljes ára</t>
  </si>
  <si>
    <t>Alsó ajtó</t>
  </si>
  <si>
    <t>Ráütődő klip</t>
  </si>
  <si>
    <t>Szög 45°</t>
  </si>
  <si>
    <t>Ráütődő</t>
  </si>
  <si>
    <t>Féligráütődő</t>
  </si>
  <si>
    <t>Közzézáródó</t>
  </si>
  <si>
    <t>Ráütődő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</si>
  <si>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</si>
  <si>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</si>
  <si>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</si>
  <si>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</si>
  <si>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</si>
  <si>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</si>
  <si>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</si>
  <si>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</si>
  <si>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</si>
  <si>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</si>
  <si>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</si>
  <si>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</si>
  <si>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</si>
  <si>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</si>
  <si>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</si>
  <si>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</si>
  <si>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</si>
  <si>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</si>
  <si>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</si>
  <si>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</si>
  <si>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alátét típusa</t>
  </si>
  <si>
    <t>A pántok száma 1 keretre</t>
  </si>
  <si>
    <t xml:space="preserve">Jobbra </t>
  </si>
  <si>
    <t>Balra</t>
  </si>
  <si>
    <t>2 darab (mind a két oldalra)</t>
  </si>
  <si>
    <t>Keskeny ALU keret</t>
  </si>
  <si>
    <t>Széles ALU keret</t>
  </si>
  <si>
    <t>MDF vastagság 16 mm</t>
  </si>
  <si>
    <t>MDF vastagság 18 mm</t>
  </si>
  <si>
    <t>A pántok elhelyezése</t>
  </si>
  <si>
    <t>A pánt távolsága a peremtől</t>
  </si>
  <si>
    <t>Töltse ki abban az esetben, amennyiben a fúrás nem lesz szimetrikus a középre</t>
  </si>
  <si>
    <t>Ár összesen</t>
  </si>
  <si>
    <t>Vevő</t>
  </si>
  <si>
    <t>Kontakt telefon</t>
  </si>
  <si>
    <t>Kontakt e-mail</t>
  </si>
  <si>
    <t>Szállítási cím</t>
  </si>
  <si>
    <t>Engedmény a keretekre</t>
  </si>
  <si>
    <t>Engedmény a vasalatokra</t>
  </si>
  <si>
    <t>A megrendelés száma</t>
  </si>
  <si>
    <t>Tükör</t>
  </si>
  <si>
    <t>Matelac tükör bronz</t>
  </si>
  <si>
    <t>Matelac tükör grafit</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</si>
  <si>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</si>
  <si>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</si>
  <si>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</si>
  <si>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</si>
  <si>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</si>
  <si>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</si>
  <si>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</si>
  <si>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</si>
  <si>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</si>
  <si>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</si>
  <si>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</si>
  <si>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</si>
  <si>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</si>
  <si>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</si>
  <si>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Profil típus</t>
  </si>
  <si>
    <t>Wypełnij jedynie w przypadku, że wiercenie nie będzie symetryczne w stosunku do środka</t>
  </si>
  <si>
    <t>Wewnętrzne rozmiary szafki (mm)</t>
  </si>
  <si>
    <t>kolor</t>
  </si>
  <si>
    <t>Zamówienie ALU</t>
  </si>
  <si>
    <t>Kolory LACOBEL i MATELAC</t>
  </si>
  <si>
    <t>Töltse ki abban az esetben, ha a fúrás nem lesz szimmetrikus a középre</t>
  </si>
  <si>
    <t xml:space="preserve">A szekrény belső mérete (mm)  </t>
  </si>
  <si>
    <t>Az ajtók száma</t>
  </si>
  <si>
    <t>szín</t>
  </si>
  <si>
    <t>Megrendelés ALU</t>
  </si>
  <si>
    <t>LACOBEL és MATELAC színek</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</si>
  <si>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</si>
  <si>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</si>
  <si>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</si>
  <si>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</si>
  <si>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</si>
  <si>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</si>
  <si>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</si>
  <si>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</si>
  <si>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</si>
  <si>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</si>
  <si>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</si>
  <si>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</si>
  <si>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</si>
  <si>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</si>
  <si>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</si>
  <si>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</si>
  <si>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</si>
  <si>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</si>
  <si>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 xml:space="preserve"> </t>
  </si>
  <si>
    <t>Modena</t>
  </si>
  <si>
    <t>Verona</t>
  </si>
  <si>
    <t>Vivaro</t>
  </si>
  <si>
    <t>Pisa</t>
  </si>
  <si>
    <t>Corleone</t>
  </si>
  <si>
    <t>Palio</t>
  </si>
  <si>
    <t>Siena</t>
  </si>
  <si>
    <t>Rocca</t>
  </si>
  <si>
    <t>Imola</t>
  </si>
  <si>
    <t>Čiré</t>
  </si>
  <si>
    <t>Číre</t>
  </si>
  <si>
    <t>Czyste</t>
  </si>
  <si>
    <t>Átlátszó Üveg</t>
  </si>
  <si>
    <t>Satinato</t>
  </si>
  <si>
    <t>Lakomat</t>
  </si>
  <si>
    <t>Zrcadlo</t>
  </si>
  <si>
    <t>Zrkadlo</t>
  </si>
  <si>
    <t>Lustro</t>
  </si>
  <si>
    <t>Master (Carre)</t>
  </si>
  <si>
    <t>Master  Point</t>
  </si>
  <si>
    <t>Master  Shine</t>
  </si>
  <si>
    <t>Antisol bronz</t>
  </si>
  <si>
    <t>Antisol grafit</t>
  </si>
  <si>
    <t>Závěsy</t>
  </si>
  <si>
    <t>Závesy</t>
  </si>
  <si>
    <t>Zawiasy</t>
  </si>
  <si>
    <t>Pántok</t>
  </si>
  <si>
    <t>Aventos ostatní</t>
  </si>
  <si>
    <t>Aventos ostatné</t>
  </si>
  <si>
    <t>Aventos - pozostałe</t>
  </si>
  <si>
    <t>Závěsy se zvedacím pístem</t>
  </si>
  <si>
    <t>Závesy so sdvíhacím piestom</t>
  </si>
  <si>
    <t>Felső ajtó</t>
  </si>
  <si>
    <t>AVENTOS HF Servo Drive</t>
  </si>
  <si>
    <t>AVENTOS HKS TIP ON</t>
  </si>
  <si>
    <t>AVENTOS HL Servo Drive</t>
  </si>
  <si>
    <t>AVENTOS HS Servo Drive</t>
  </si>
  <si>
    <t>Uvedené ceny jsou bez DPH a nezahrnují cenu požadovaného kování!</t>
  </si>
  <si>
    <t>Spodní</t>
  </si>
  <si>
    <t>KRABY 164 45N</t>
  </si>
  <si>
    <t>KRABY 164 60N</t>
  </si>
  <si>
    <t>KRABY 244 45N</t>
  </si>
  <si>
    <t>KRABY 244 60N</t>
  </si>
  <si>
    <t>KRABY 244 90N</t>
  </si>
  <si>
    <t>KRABY 244 120N</t>
  </si>
  <si>
    <t>KRABY 355 45N</t>
  </si>
  <si>
    <t>KRABY 355 60N</t>
  </si>
  <si>
    <t>KRABY 355 90N</t>
  </si>
  <si>
    <t>KRABY 355 120N</t>
  </si>
  <si>
    <t>spodní</t>
  </si>
  <si>
    <t>spodné</t>
  </si>
  <si>
    <t>Dolne</t>
  </si>
  <si>
    <t>Alsó</t>
  </si>
  <si>
    <t>92584T</t>
  </si>
  <si>
    <t>Minimální vzdálenost umístění závěsů</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</si>
  <si>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</si>
  <si>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</si>
  <si>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</si>
  <si>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</si>
  <si>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</si>
  <si>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</si>
  <si>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</si>
  <si>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</si>
  <si>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</si>
  <si>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</si>
  <si>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</si>
  <si>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</si>
  <si>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</si>
  <si>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</si>
  <si>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</si>
  <si>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</si>
  <si>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</si>
  <si>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</si>
  <si>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</si>
  <si>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Sada kování na úzký rámeček H27AL (88630)</t>
  </si>
  <si>
    <t>Sada kování na široký rámeček H37AL (88631)</t>
  </si>
  <si>
    <t>Horní vedení délka 2 m (87313)</t>
  </si>
  <si>
    <t>Horní vedení délka 3 m (87312)</t>
  </si>
  <si>
    <t>Typ rámečku</t>
  </si>
  <si>
    <t>Široký</t>
  </si>
  <si>
    <t>Úzký</t>
  </si>
  <si>
    <t>2 vedení (2 m)</t>
  </si>
  <si>
    <t>2 vedení (3 m)</t>
  </si>
  <si>
    <t>Jedno vedení 2m</t>
  </si>
  <si>
    <t>Jiný požadavek (ks)</t>
  </si>
  <si>
    <t>Zde jsou uvedeny standardní přesahy dvířek</t>
  </si>
  <si>
    <t>Standardowe prześwity drzwi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</si>
  <si>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</si>
  <si>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</si>
  <si>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</si>
  <si>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</si>
  <si>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</si>
  <si>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</si>
  <si>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</si>
  <si>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</si>
  <si>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</si>
  <si>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</si>
  <si>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</si>
  <si>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</si>
  <si>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</si>
  <si>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</si>
  <si>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</si>
  <si>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</si>
  <si>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</si>
  <si>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</si>
  <si>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</si>
  <si>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Félig ráütődő integr. Blumotionnal</t>
  </si>
  <si>
    <t>Minimalna odległość umieszczenia zawiasu</t>
  </si>
  <si>
    <t>Minimális távolság a pántok elhelyezésére</t>
  </si>
  <si>
    <t>Ráütődő integr. Blumotionnal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</si>
  <si>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</si>
  <si>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</si>
  <si>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</si>
  <si>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</si>
  <si>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Reklamációt a keret sérülésére nem lehet érvényesíteni, ha a keret már fel volt szerelve</t>
  </si>
  <si>
    <t>A vasalat felerősítésére az ALU keretre csak az erre a célra megadott csavarokat lehet használni (péld. kód 13681).</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</si>
  <si>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</si>
  <si>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</si>
  <si>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</si>
  <si>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</si>
  <si>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</si>
  <si>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</si>
  <si>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</si>
  <si>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</si>
  <si>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</si>
  <si>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</si>
  <si>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</si>
  <si>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</si>
  <si>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</si>
  <si>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</si>
  <si>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</si>
  <si>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</si>
  <si>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Rysunki profili i okuć łączących</t>
  </si>
  <si>
    <t>A profilok és összek.vasalat rajza</t>
  </si>
  <si>
    <t xml:space="preserve">Na požiadavku zákazníka, je možné dodať rámčeky s maximálnou dĺžkou profilu 3m. Maximálny rozmer skla je v tomto prípade 2500 x 1300 mm. </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</si>
  <si>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</si>
  <si>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</si>
  <si>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 xml:space="preserve">Vyplnenú objednávku zašlite na adresu </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</si>
  <si>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</si>
  <si>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</si>
  <si>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</si>
  <si>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</si>
  <si>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</si>
  <si>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</si>
  <si>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</si>
  <si>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</si>
  <si>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</si>
  <si>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</si>
  <si>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</si>
  <si>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</si>
  <si>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</si>
  <si>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</si>
  <si>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</si>
  <si>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</si>
  <si>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</si>
  <si>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</si>
  <si>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</si>
  <si>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</si>
  <si>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</si>
  <si>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</si>
  <si>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</si>
  <si>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</si>
  <si>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</si>
  <si>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</si>
  <si>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</si>
  <si>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</si>
  <si>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</si>
  <si>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</si>
  <si>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</si>
  <si>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</si>
  <si>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</si>
  <si>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Čiré kalené (dodání 3 týdny)</t>
  </si>
  <si>
    <t>Číre kalené (dodanie 3 týždne)</t>
  </si>
  <si>
    <t>Czyste hartowane (dostawa 3 tygodnie)</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</si>
  <si>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</si>
  <si>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</si>
  <si>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Cena za posuvné rámčeky je rovnaká ako cena za bežné rámčeky.</t>
  </si>
  <si>
    <t>Edzett üveg (szállítási idő 3 hét)</t>
  </si>
  <si>
    <t>BRW (elox.)</t>
  </si>
  <si>
    <t>Corleone (elox.)</t>
  </si>
  <si>
    <t>Vivaro (elox.)</t>
  </si>
  <si>
    <t>Lacobel RAL 9007</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</si>
  <si>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</si>
  <si>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</si>
  <si>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</si>
  <si>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</si>
  <si>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</si>
  <si>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</si>
  <si>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Strong</t>
  </si>
  <si>
    <t>Clip na vrut (12306)</t>
  </si>
  <si>
    <t>Clip na eurošroub (12318)</t>
  </si>
  <si>
    <t>Clip na vrut H0 (92596)</t>
  </si>
  <si>
    <t>Clip na eurošroub H0  (92597)</t>
  </si>
  <si>
    <t>Clip na vrut H2 (92598)</t>
  </si>
  <si>
    <t>Clip na eurošroub H2 (92599)</t>
  </si>
  <si>
    <t>Clip na vrut H0 (92590T)</t>
  </si>
  <si>
    <t>Clip na eurošroub H0  (92591T)</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</si>
  <si>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</si>
  <si>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</si>
  <si>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</si>
  <si>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</si>
  <si>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</si>
  <si>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</si>
  <si>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</si>
  <si>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</si>
  <si>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</si>
  <si>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</si>
  <si>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</si>
  <si>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</si>
  <si>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</si>
  <si>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</si>
  <si>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</si>
  <si>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</si>
  <si>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</si>
  <si>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</si>
  <si>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</si>
  <si>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</si>
  <si>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</si>
  <si>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</si>
  <si>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</si>
  <si>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</si>
  <si>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</si>
  <si>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</si>
  <si>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</si>
  <si>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</si>
  <si>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</si>
  <si>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</si>
  <si>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</si>
  <si>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</si>
  <si>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</si>
  <si>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</si>
  <si>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</si>
  <si>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</si>
  <si>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STRONG 30N bílý Automatický</t>
  </si>
  <si>
    <t>STRONG 60N bílý Automatický</t>
  </si>
  <si>
    <t>STRONG 80N bílý Automatický</t>
  </si>
  <si>
    <t>STRONG 100N bílý Automatický</t>
  </si>
  <si>
    <t>STRONG 120N bílý Automatický</t>
  </si>
  <si>
    <t>STRONG 60N bílý Polohovací</t>
  </si>
  <si>
    <t>STRONG 80N bílý Polohovací</t>
  </si>
  <si>
    <t>STRONG 100N bílý Polohovací</t>
  </si>
  <si>
    <t>STRONG 120N bílý Polohovací</t>
  </si>
  <si>
    <t>STRONG 30N šedý Automatický</t>
  </si>
  <si>
    <t>STRONG 60N šedý Automatický</t>
  </si>
  <si>
    <t>STRONG 80N šedý Automatický</t>
  </si>
  <si>
    <t>STRONG 100N šedý Automatický</t>
  </si>
  <si>
    <t>STRONG 120N šedý Automatický</t>
  </si>
  <si>
    <t>STRONG 60N šedý Polohovací</t>
  </si>
  <si>
    <t>STRONG 80N šedý Polohovací</t>
  </si>
  <si>
    <t>STRONG 100N šedý Polohovací</t>
  </si>
  <si>
    <t>STRONG 120N šedý Polohovací</t>
  </si>
  <si>
    <t>HUWIL DUO</t>
  </si>
  <si>
    <t>HUWIL DUO FORTE</t>
  </si>
  <si>
    <t>HUWILIFT MAXI</t>
  </si>
  <si>
    <t>K12 244 50N</t>
  </si>
  <si>
    <t>K12 244 80N</t>
  </si>
  <si>
    <t>K12 244 100N</t>
  </si>
  <si>
    <t>K12 244 120N</t>
  </si>
  <si>
    <t>K12 355 60N</t>
  </si>
  <si>
    <t>K12 355 90N</t>
  </si>
  <si>
    <t>K12 355 110N</t>
  </si>
  <si>
    <t>K12 355 130N</t>
  </si>
  <si>
    <t>STRONG spodní bílý</t>
  </si>
  <si>
    <t>STRONG spodní šedý</t>
  </si>
  <si>
    <t xml:space="preserve">HUWIL DUO (90°) </t>
  </si>
  <si>
    <t>KRABY 164 spodní</t>
  </si>
  <si>
    <t>KRABY 244 spodní</t>
  </si>
  <si>
    <t>KRABY 355 spodní</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</si>
  <si>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</si>
  <si>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</si>
  <si>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</si>
  <si>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</si>
  <si>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</si>
  <si>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</si>
  <si>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</si>
  <si>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</si>
  <si>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</si>
  <si>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</si>
  <si>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</si>
  <si>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</si>
  <si>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</si>
  <si>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</si>
  <si>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</si>
  <si>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</si>
  <si>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</si>
  <si>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P</t>
  </si>
  <si>
    <t>V</t>
  </si>
  <si>
    <t>U</t>
  </si>
  <si>
    <t>R</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</si>
  <si>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</si>
  <si>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</si>
  <si>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</si>
  <si>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</si>
  <si>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</si>
  <si>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</si>
  <si>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</si>
  <si>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</si>
  <si>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</si>
  <si>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</si>
  <si>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</si>
  <si>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</si>
  <si>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</si>
  <si>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</si>
  <si>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vložený tlmený</t>
  </si>
  <si>
    <t>Sensys wpuszczany z tłumieniem</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</si>
  <si>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</si>
  <si>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</si>
  <si>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</si>
  <si>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</si>
  <si>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</si>
  <si>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</si>
  <si>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</si>
  <si>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</si>
  <si>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</si>
  <si>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</si>
  <si>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</si>
  <si>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wpuszczany</t>
  </si>
  <si>
    <t>Intermat príložný</t>
  </si>
  <si>
    <t>Intermat równoległy</t>
  </si>
  <si>
    <t>Intermat hozzáilleszthető</t>
  </si>
  <si>
    <t>Sensys naložený bez tlmenia</t>
  </si>
  <si>
    <t>Sensys vložený bez tlmenia</t>
  </si>
  <si>
    <t>Sensys wpuszczany bez tłumienia</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</si>
  <si>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</si>
  <si>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</si>
  <si>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</si>
  <si>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</si>
  <si>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</si>
  <si>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</si>
  <si>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</si>
  <si>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</si>
  <si>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</si>
  <si>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</si>
  <si>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</si>
  <si>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</si>
  <si>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</si>
  <si>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</si>
  <si>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</si>
  <si>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</si>
  <si>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</si>
  <si>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</si>
  <si>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</si>
  <si>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</si>
  <si>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</si>
  <si>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</si>
  <si>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</si>
  <si>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</si>
  <si>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</si>
  <si>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</si>
  <si>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</si>
  <si>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</si>
  <si>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</si>
  <si>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</si>
  <si>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</si>
  <si>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</si>
  <si>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polonaložený k nasunutiu</t>
  </si>
  <si>
    <t>półnakładany nasuwany</t>
  </si>
  <si>
    <t>vložený k nasunutiu</t>
  </si>
  <si>
    <t>wpuszczany nasuwany</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</si>
  <si>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</si>
  <si>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</si>
  <si>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</si>
  <si>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</si>
  <si>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</si>
  <si>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</si>
  <si>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</si>
  <si>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</si>
  <si>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</si>
  <si>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</si>
  <si>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</si>
  <si>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</si>
  <si>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</si>
  <si>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</si>
  <si>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</si>
  <si>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</si>
  <si>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</si>
  <si>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</si>
  <si>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</si>
  <si>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</si>
  <si>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</si>
  <si>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</si>
  <si>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</si>
  <si>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</si>
  <si>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</si>
  <si>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</si>
  <si>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</si>
  <si>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</si>
  <si>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</si>
  <si>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</si>
  <si>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</si>
  <si>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</si>
  <si>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</si>
  <si>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</si>
  <si>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</si>
  <si>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</si>
  <si>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</si>
  <si>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</si>
  <si>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</si>
  <si>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</si>
  <si>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</si>
  <si>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</si>
  <si>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</si>
  <si>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</si>
  <si>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</si>
  <si>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</si>
  <si>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</si>
  <si>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</si>
  <si>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</si>
  <si>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</si>
  <si>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</si>
  <si>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</si>
  <si>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</si>
  <si>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</si>
  <si>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</si>
  <si>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</si>
  <si>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</si>
  <si>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</si>
  <si>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</si>
  <si>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</si>
  <si>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</si>
  <si>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</si>
  <si>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k nasunutiu EURO skrutka H0</t>
  </si>
  <si>
    <t>nasuwany EURO wkręt H0</t>
  </si>
  <si>
    <t>k nasunutiu na vrut H2</t>
  </si>
  <si>
    <t>nasuwany na wkręt H2</t>
  </si>
  <si>
    <t>Rátolhatós  csavar H2</t>
  </si>
  <si>
    <t>k nasunutiu EURO skrutka H2</t>
  </si>
  <si>
    <t>nasuwany EURO wkręt H2</t>
  </si>
  <si>
    <t>Clip vrut s excentrom H0</t>
  </si>
  <si>
    <t>Clip wkręt z mimośrodem H0</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</si>
  <si>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</si>
  <si>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</si>
  <si>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</si>
  <si>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</si>
  <si>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</si>
  <si>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</si>
  <si>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</si>
  <si>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</si>
  <si>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</si>
  <si>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</si>
  <si>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</si>
  <si>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</si>
  <si>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</si>
  <si>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</si>
  <si>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</si>
  <si>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</si>
  <si>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</si>
  <si>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</si>
  <si>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Satinato grafit</t>
  </si>
  <si>
    <t>Venus VG10</t>
  </si>
  <si>
    <t>Stopsol bronz</t>
  </si>
  <si>
    <t>D</t>
  </si>
  <si>
    <t>S*</t>
  </si>
  <si>
    <t>S</t>
  </si>
  <si>
    <t>J</t>
  </si>
  <si>
    <t>Skupina</t>
  </si>
  <si>
    <t>Značka</t>
  </si>
  <si>
    <t>Skladovost</t>
  </si>
  <si>
    <t>uzky</t>
  </si>
  <si>
    <t>tlumení</t>
  </si>
  <si>
    <t>N/P/V/U</t>
  </si>
  <si>
    <t>TIP ON / P2O</t>
  </si>
  <si>
    <t>Podložka 1</t>
  </si>
  <si>
    <t xml:space="preserve">Popis </t>
  </si>
  <si>
    <t>Sklad</t>
  </si>
  <si>
    <t>STRONG závěs naložený 110° klipový</t>
  </si>
  <si>
    <t>STRONG závěs polonaložený 110° klipový</t>
  </si>
  <si>
    <t>STRONG závěs vložený 110° klipový</t>
  </si>
  <si>
    <t>STRONG závěs 45° klipový</t>
  </si>
  <si>
    <t>STRONG závěs naložený 110° slide on</t>
  </si>
  <si>
    <t>k nasunutí na vrut H0 (92613)</t>
  </si>
  <si>
    <t>k nasunutí EURO šroub H0 (92614)</t>
  </si>
  <si>
    <t>k nasunutí na vrut H2 (92592)</t>
  </si>
  <si>
    <t>k nasunutí EURO šroub H2 (92593)</t>
  </si>
  <si>
    <t>STRONG závěs polonaložený 110°</t>
  </si>
  <si>
    <t>STRONG závěs vložený 110°</t>
  </si>
  <si>
    <t>Strong s integrovaným tlumením</t>
  </si>
  <si>
    <t>STRONG závěs naložený na alu rámeček, s tlumením, klipový</t>
  </si>
  <si>
    <t>Podložka H0 klipová s excentrem, na vrut (315856)</t>
  </si>
  <si>
    <t>Podložka H2 klipová s excentrem, na vrut (350868)</t>
  </si>
  <si>
    <t>Srong bez tlumení</t>
  </si>
  <si>
    <t>STRONG závěs naložený s tlumením 110° na vrut, klipový</t>
  </si>
  <si>
    <t>Clip na vrut H2 (92592T)</t>
  </si>
  <si>
    <t>Clip vrut s excentrem H0 (92594T)</t>
  </si>
  <si>
    <t>STRONG závěs polonaložený s tlumením 110° na vrut, klipový</t>
  </si>
  <si>
    <t>STRONG závěs vložený s tlumením 110° na vrut, klipový</t>
  </si>
  <si>
    <t>STRONG závěs s tlumením 45° na vrut, klipový</t>
  </si>
  <si>
    <t>HETTICH 9094270 Sensys 8646I B12,5 TH52, naložený pro tenké dveře, SiSy</t>
  </si>
  <si>
    <t>podložka na vrut (106403)</t>
  </si>
  <si>
    <t>podložka na Eurovrut (119240)</t>
  </si>
  <si>
    <t>podložka na rozpěrnou hmoždinku (136276)</t>
  </si>
  <si>
    <t>HETTICH 9094280 Sensys 8646i B3, TH52, polonaložený pro tenké dveře, SiSy</t>
  </si>
  <si>
    <t>HETTICH 9094290 Sensys 8646i B-4, TH52, vložený pro tenké dveře, SiSy</t>
  </si>
  <si>
    <t>HETTICH 9094450 Sensys 8676 B12,5 TH52, naložený pro tenké dveře, SiSy</t>
  </si>
  <si>
    <t>HETTICH 9094460 Sensys 8676 B12,5 TH52, polonaložený pro tenké dveře, SiSy</t>
  </si>
  <si>
    <t>HETTICH 9094470 Sensys 8676 B-4 TH52, vložený, P2O</t>
  </si>
  <si>
    <t>HETTICH 9072524 Sensys 8638i hliník naložený T3 SiSy</t>
  </si>
  <si>
    <t>HETTICH 9072530 Sensys 8668 alu B12,5/TA32, P2O</t>
  </si>
  <si>
    <t>BLUM 71M2550 naložený vrut 100°</t>
  </si>
  <si>
    <t>BLUM 71M2650 polonaložený vrut 100°</t>
  </si>
  <si>
    <t>BLUM 71M2750 vložený vrut 100°</t>
  </si>
  <si>
    <t>BLUM 71B3550 naložený s tlumením vrut 110°</t>
  </si>
  <si>
    <t>BLUM 71B3650 polonaložený s tlumením vrut 110°</t>
  </si>
  <si>
    <t>BLUM 71B3750 vložený s tlumením vrut 110°</t>
  </si>
  <si>
    <t>BLUM 71T3550 naložený vrut 110° bez tlum</t>
  </si>
  <si>
    <t>BLUM 71T3650 polonaložený 110° bez tlum</t>
  </si>
  <si>
    <t>BLUM 71T3750 vložený vrut 110° bez tlum</t>
  </si>
  <si>
    <t>BLUM 70T3550.TL naložený Tip-on vrut 110°</t>
  </si>
  <si>
    <t>BLUM 70T3650.TL polonaložený Tip-on vrut 110°</t>
  </si>
  <si>
    <t>BLUM 70T3750.TL vložený Tip-on vrut 110°</t>
  </si>
  <si>
    <t>BLUM 71B3550 naložený, tlumený vrut 110° Onyx</t>
  </si>
  <si>
    <t>BLUM 71B3650 polonaložený, tlumený vrut 110° Onyx</t>
  </si>
  <si>
    <t>BLUM 71B3750 vložený, tlumený vrut 110° Onyx</t>
  </si>
  <si>
    <t>BLUM 71T950A alu naložený 95°</t>
  </si>
  <si>
    <t>BLUM 71T960A alu polonaložený 95°</t>
  </si>
  <si>
    <t>BLUM 71T970A alu vložený 95°</t>
  </si>
  <si>
    <t>BLUM 71B950A alu naložený s tlumením 95°</t>
  </si>
  <si>
    <t>BLUM 71B960A alu polonaložený s tlumením 95°</t>
  </si>
  <si>
    <t>BLUM 71B970A alu vložený s tlumením 95°</t>
  </si>
  <si>
    <t>BLUM 70T950A.TL alu naložený pro Tip-on</t>
  </si>
  <si>
    <t>BLUM 72T550A.TL alu naložený Tip-on 120°</t>
  </si>
  <si>
    <t>BLUM 71T950A naložený, 95°, alu, vrut Onyx</t>
  </si>
  <si>
    <t>Strong bez tlumení</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</si>
  <si>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</si>
  <si>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</si>
  <si>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</si>
  <si>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</si>
  <si>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</si>
  <si>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</si>
  <si>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</si>
  <si>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</si>
  <si>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</si>
  <si>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P2o półnakładany</t>
  </si>
  <si>
    <t>naložený clip 95° Onyx</t>
  </si>
  <si>
    <t>nakładany clip 95° Onyx</t>
  </si>
  <si>
    <t>ráütődő klip csillapítós 110°</t>
  </si>
  <si>
    <t>ráütődő klip csillapító nélkül 110°</t>
  </si>
  <si>
    <t>ráütődő TIP-ON klip 110°</t>
  </si>
  <si>
    <t xml:space="preserve">ráütődő csillapítós klip 95° </t>
  </si>
  <si>
    <t>ráütődő TIP-ON klip 95°</t>
  </si>
  <si>
    <t>ráütődő TIP-ON klip 120°</t>
  </si>
  <si>
    <t>ráütődő csillapítós klip 110° ONYX</t>
  </si>
  <si>
    <t>ráütődő klip 95° Onyx</t>
  </si>
  <si>
    <t xml:space="preserve">Sensys SiSy Vložený </t>
  </si>
  <si>
    <t xml:space="preserve">Sensys SiSy wpuszczany </t>
  </si>
  <si>
    <t xml:space="preserve">Sensys P2o Vložený </t>
  </si>
  <si>
    <t xml:space="preserve">Sensys P2o wpuszczany </t>
  </si>
  <si>
    <t>vložený s tlmením clip 110° Onyx</t>
  </si>
  <si>
    <t>wpuszczany z tłumieniem clip 110° Onyx</t>
  </si>
  <si>
    <t>közézáródó klip csillapító nélkül 110°</t>
  </si>
  <si>
    <t>Excentes klipes csavar H0</t>
  </si>
  <si>
    <t>Úvod</t>
  </si>
  <si>
    <t>Wprowadzenie</t>
  </si>
  <si>
    <t>STRONG s tlmením</t>
  </si>
  <si>
    <t>STRONG z tłumieniem</t>
  </si>
  <si>
    <t>STRONG csillapítós</t>
  </si>
  <si>
    <t>STRONG bez tlmení</t>
  </si>
  <si>
    <t>STRONG  bez tłumienia</t>
  </si>
  <si>
    <t>STRONG csillapító nélkül</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</si>
  <si>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</si>
  <si>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</si>
  <si>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</si>
  <si>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</si>
  <si>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</si>
  <si>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BRW černá mat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</si>
  <si>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</si>
  <si>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</si>
  <si>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</si>
  <si>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</si>
  <si>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</si>
  <si>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</si>
  <si>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</si>
  <si>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</si>
  <si>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</si>
  <si>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</si>
  <si>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</si>
  <si>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</si>
  <si>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</si>
  <si>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Matelac zrkadlo strieb.</t>
  </si>
  <si>
    <t>Matelac lustro srebrny</t>
  </si>
  <si>
    <t>Matelac tükör ezüst</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</si>
  <si>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</si>
  <si>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</si>
  <si>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</si>
  <si>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</si>
  <si>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</si>
  <si>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</si>
  <si>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</si>
  <si>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</si>
  <si>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</si>
  <si>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</si>
  <si>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</si>
  <si>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</si>
  <si>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</si>
  <si>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AVENTOS HK TOP</t>
  </si>
  <si>
    <t>AVENTOS HK TOP Servo Drive</t>
  </si>
  <si>
    <t>AVENTOS HK TOP TIP ON</t>
  </si>
  <si>
    <t>Satinato brown</t>
  </si>
  <si>
    <t>Satinato graphite</t>
  </si>
  <si>
    <t>Stopsol bronze</t>
  </si>
  <si>
    <t>Antisol bronze</t>
  </si>
  <si>
    <t>Antisol graphite</t>
  </si>
  <si>
    <t>Mirror</t>
  </si>
  <si>
    <t>Mirror brown</t>
  </si>
  <si>
    <t>Master Point</t>
  </si>
  <si>
    <t>Matelac mirror bronze</t>
  </si>
  <si>
    <t>Matelac mirror graphite</t>
  </si>
  <si>
    <t>Rámeček</t>
  </si>
  <si>
    <t>Rámček</t>
  </si>
  <si>
    <t>Quantity</t>
  </si>
  <si>
    <t>Width</t>
  </si>
  <si>
    <t>Height</t>
  </si>
  <si>
    <t>Total price of frames</t>
  </si>
  <si>
    <t>Inset</t>
  </si>
  <si>
    <t>Increased by 6 mm</t>
  </si>
  <si>
    <t>Right</t>
  </si>
  <si>
    <t>Left</t>
  </si>
  <si>
    <t>2 Pieces (both sides)</t>
  </si>
  <si>
    <t>Customer</t>
  </si>
  <si>
    <t>Discount on frames</t>
  </si>
  <si>
    <t>Discount on fittings</t>
  </si>
  <si>
    <t>Sliding frames</t>
  </si>
  <si>
    <t>Number of doors</t>
  </si>
  <si>
    <t>Handle weight (g)</t>
  </si>
  <si>
    <t>Bottom</t>
  </si>
  <si>
    <t>export@demos-trade.com</t>
  </si>
  <si>
    <t>Profile drawings</t>
  </si>
  <si>
    <t>STRONG 30N white Automatic</t>
  </si>
  <si>
    <t>STRONG 60N white Automatic</t>
  </si>
  <si>
    <t>STRONG 80N white Automatic</t>
  </si>
  <si>
    <t>STRONG 100N white Automatic</t>
  </si>
  <si>
    <t>STRONG 120N white Automatic</t>
  </si>
  <si>
    <t>STRONG 60N grey Automatic</t>
  </si>
  <si>
    <t>STRONG 100N grey Automatic</t>
  </si>
  <si>
    <t>STRONG 120N grey Automatic</t>
  </si>
  <si>
    <t>The minimum possible frame size is 140x140mm</t>
  </si>
  <si>
    <t>Main page</t>
  </si>
  <si>
    <t>Frame</t>
  </si>
  <si>
    <t>Ramka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</si>
  <si>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</si>
  <si>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</si>
  <si>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</si>
  <si>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</si>
  <si>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</si>
  <si>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</si>
  <si>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</si>
  <si>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</si>
  <si>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</si>
  <si>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</si>
  <si>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</si>
  <si>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</si>
  <si>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</si>
  <si>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</si>
  <si>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</si>
  <si>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</si>
  <si>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</si>
  <si>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</si>
  <si>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</si>
  <si>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</si>
  <si>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</si>
  <si>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</si>
  <si>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</si>
  <si>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</si>
  <si>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</si>
  <si>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</si>
  <si>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</si>
  <si>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</si>
  <si>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</si>
  <si>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</si>
  <si>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</si>
  <si>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</si>
  <si>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</si>
  <si>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</si>
  <si>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</si>
  <si>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</si>
  <si>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</si>
  <si>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</si>
  <si>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</si>
  <si>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</si>
  <si>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</si>
  <si>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</si>
  <si>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</si>
  <si>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</si>
  <si>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</si>
  <si>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</si>
  <si>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</si>
  <si>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</si>
  <si>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</si>
  <si>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</si>
  <si>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</si>
  <si>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</si>
  <si>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</si>
  <si>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</si>
  <si>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</si>
  <si>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</si>
  <si>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</si>
  <si>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</si>
  <si>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</si>
  <si>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</si>
  <si>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</si>
  <si>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</si>
  <si>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</si>
  <si>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</si>
  <si>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</si>
  <si>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</si>
  <si>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</si>
  <si>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</si>
  <si>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</si>
  <si>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</si>
  <si>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</si>
  <si>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</si>
  <si>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</si>
  <si>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</si>
  <si>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</si>
  <si>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</si>
  <si>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</si>
  <si>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</si>
  <si>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</si>
  <si>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_vyklopy_strong</t>
  </si>
  <si>
    <t>_vyklopy_hettich</t>
  </si>
  <si>
    <t>_vyklopy_italiana</t>
  </si>
  <si>
    <t>_vyklopy_kesse</t>
  </si>
  <si>
    <t>_Výklopy_Blum</t>
  </si>
  <si>
    <t>_Výklopy_Strong</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</si>
  <si>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</si>
  <si>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</si>
  <si>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</si>
  <si>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</si>
  <si>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</si>
  <si>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</si>
  <si>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</si>
  <si>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</si>
  <si>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</si>
  <si>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</si>
  <si>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</si>
  <si>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</si>
  <si>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</si>
  <si>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Závěs Strong 1</t>
  </si>
  <si>
    <t>Závěs Strong 2</t>
  </si>
  <si>
    <t>Závěs Strong 3</t>
  </si>
  <si>
    <t>Závěs Strong 4</t>
  </si>
  <si>
    <t>Závěs Strong 5</t>
  </si>
  <si>
    <t>_Závěsy_Hettich</t>
  </si>
  <si>
    <t>_Závěsy_Blum</t>
  </si>
  <si>
    <t>_Závěsy_Strong</t>
  </si>
  <si>
    <t>_zavesy_hettich</t>
  </si>
  <si>
    <t>_zavesy_blum</t>
  </si>
  <si>
    <t>_zavesy_strong</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</si>
  <si>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</si>
  <si>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</si>
  <si>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</si>
  <si>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</si>
  <si>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</si>
  <si>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</si>
  <si>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</si>
  <si>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</si>
  <si>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</si>
  <si>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</si>
  <si>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</si>
  <si>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</si>
  <si>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</si>
  <si>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</si>
  <si>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</si>
  <si>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</si>
  <si>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</si>
  <si>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</si>
  <si>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</si>
  <si>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</si>
  <si>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</si>
  <si>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</si>
  <si>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</si>
  <si>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</si>
  <si>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</si>
  <si>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</si>
  <si>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</si>
  <si>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</si>
  <si>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</si>
  <si>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</si>
  <si>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</si>
  <si>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350863</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</si>
  <si>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</si>
  <si>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</si>
  <si>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</si>
  <si>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</si>
  <si>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</si>
  <si>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</si>
  <si>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</si>
  <si>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</si>
  <si>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</si>
  <si>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</si>
  <si>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</si>
  <si>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</si>
  <si>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</si>
  <si>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</si>
  <si>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</si>
  <si>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</si>
  <si>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</si>
  <si>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</si>
  <si>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</si>
  <si>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</si>
  <si>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</si>
  <si>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</si>
  <si>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</si>
  <si>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</si>
  <si>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</si>
  <si>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</si>
  <si>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</si>
  <si>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</si>
  <si>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</si>
  <si>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</si>
  <si>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</si>
  <si>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</si>
  <si>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</si>
  <si>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</si>
  <si>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</si>
  <si>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</si>
  <si>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</si>
  <si>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</si>
  <si>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</si>
  <si>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</si>
  <si>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</si>
  <si>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</si>
  <si>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</si>
  <si>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</si>
  <si>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</si>
  <si>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</si>
  <si>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</si>
  <si>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Spodní_Kraby</t>
  </si>
  <si>
    <t>Spodní_K12</t>
  </si>
  <si>
    <t>Automatická_vzpěra</t>
  </si>
  <si>
    <t>Polohovací_vzpěra</t>
  </si>
  <si>
    <t>Aventos_HF</t>
  </si>
  <si>
    <t>Aventos_HK-XS</t>
  </si>
  <si>
    <t>Duo_Forte</t>
  </si>
  <si>
    <t>Aventos_ HK TOP</t>
  </si>
  <si>
    <t>Aventos_ HK-S</t>
  </si>
  <si>
    <t>Aventos_ HK-XS</t>
  </si>
  <si>
    <t>Aventos_ HL</t>
  </si>
  <si>
    <t>Aventos_ HS</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</si>
  <si>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</si>
  <si>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</si>
  <si>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</si>
  <si>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</si>
  <si>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</si>
  <si>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</si>
  <si>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</si>
  <si>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</si>
  <si>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</si>
  <si>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</si>
  <si>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</si>
  <si>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</si>
  <si>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</si>
  <si>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</si>
  <si>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</si>
  <si>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</si>
  <si>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</si>
  <si>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</si>
  <si>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</si>
  <si>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</si>
  <si>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</si>
  <si>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</si>
  <si>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</si>
  <si>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</si>
  <si>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</si>
  <si>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</si>
  <si>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Odległość od krawędzi</t>
  </si>
  <si>
    <t>A távolsága a peremtől</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</si>
  <si>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</si>
  <si>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</si>
  <si>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</si>
  <si>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</si>
  <si>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</si>
  <si>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</si>
  <si>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</si>
  <si>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</si>
  <si>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</si>
  <si>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</si>
  <si>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</si>
  <si>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</si>
  <si>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</si>
  <si>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</si>
  <si>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</si>
  <si>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</si>
  <si>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</si>
  <si>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</si>
  <si>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</si>
  <si>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</si>
  <si>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</si>
  <si>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</si>
  <si>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</si>
  <si>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</si>
  <si>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</si>
  <si>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</si>
  <si>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</si>
  <si>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</si>
  <si>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</si>
  <si>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</si>
  <si>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</si>
  <si>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</si>
  <si>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</si>
  <si>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</si>
  <si>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</si>
  <si>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</si>
  <si>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</si>
  <si>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</si>
  <si>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</si>
  <si>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</si>
  <si>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</si>
  <si>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</si>
  <si>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</si>
  <si>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</si>
  <si>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</si>
  <si>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</si>
  <si>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</si>
  <si>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</si>
  <si>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</si>
  <si>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</si>
  <si>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</si>
  <si>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Horizontálně i Vertikálně</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</si>
  <si>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</si>
  <si>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</si>
  <si>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</si>
  <si>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</si>
  <si>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</si>
  <si>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</si>
  <si>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</si>
  <si>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</si>
  <si>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</si>
  <si>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</si>
  <si>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Varianta kov.</t>
  </si>
  <si>
    <t>Zav. K vykl.</t>
  </si>
  <si>
    <t>Umístění zav.</t>
  </si>
  <si>
    <t>Počet zav.</t>
  </si>
  <si>
    <t>Značka kov.</t>
  </si>
  <si>
    <t>Typ kov.</t>
  </si>
  <si>
    <t>Kombinace pr.</t>
  </si>
  <si>
    <t>Uprava skla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</si>
  <si>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</si>
  <si>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</si>
  <si>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</si>
  <si>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</si>
  <si>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</si>
  <si>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</si>
  <si>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</si>
  <si>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</si>
  <si>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</si>
  <si>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</si>
  <si>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</si>
  <si>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</si>
  <si>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</si>
  <si>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</si>
  <si>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</si>
  <si>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</si>
  <si>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</si>
  <si>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</si>
  <si>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</si>
  <si>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</si>
  <si>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&lt;-----</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</si>
  <si>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</si>
  <si>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</si>
  <si>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</si>
  <si>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</si>
  <si>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</si>
  <si>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</si>
  <si>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</si>
  <si>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</si>
  <si>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</si>
  <si>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</si>
  <si>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</si>
  <si>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</si>
  <si>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</si>
  <si>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</si>
  <si>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</si>
  <si>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</si>
  <si>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</si>
  <si>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</si>
  <si>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</si>
  <si>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</si>
  <si>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</si>
  <si>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</si>
  <si>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</si>
  <si>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</si>
  <si>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</si>
  <si>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</si>
  <si>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</si>
  <si>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</si>
  <si>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</si>
  <si>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</si>
  <si>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</si>
  <si>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</si>
  <si>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</si>
  <si>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</si>
  <si>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</si>
  <si>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</si>
  <si>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</si>
  <si>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</si>
  <si>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</si>
  <si>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</si>
  <si>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</si>
  <si>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</si>
  <si>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</si>
  <si>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</si>
  <si>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</si>
  <si>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</si>
  <si>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</si>
  <si>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</si>
  <si>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</si>
  <si>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</si>
  <si>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</si>
  <si>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</si>
  <si>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</si>
  <si>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</si>
  <si>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</si>
  <si>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</si>
  <si>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</si>
  <si>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</si>
  <si>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</si>
  <si>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</si>
  <si>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</si>
  <si>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</si>
  <si>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</si>
  <si>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</si>
  <si>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</si>
  <si>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</si>
  <si>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</si>
  <si>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</si>
  <si>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</si>
  <si>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</si>
  <si>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</si>
  <si>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</si>
  <si>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</si>
  <si>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</si>
  <si>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</si>
  <si>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</si>
  <si>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</si>
  <si>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</si>
  <si>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</si>
  <si>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</si>
  <si>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</si>
  <si>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</si>
  <si>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</si>
  <si>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</si>
  <si>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</si>
  <si>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</si>
  <si>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</si>
  <si>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</si>
  <si>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</si>
  <si>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</si>
  <si>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</si>
  <si>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</si>
  <si>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</si>
  <si>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</si>
  <si>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</si>
  <si>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</si>
  <si>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</si>
  <si>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</si>
  <si>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</si>
  <si>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</si>
  <si>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</si>
  <si>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</si>
  <si>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</si>
  <si>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</si>
  <si>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</si>
  <si>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</si>
  <si>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</si>
  <si>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</si>
  <si>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</si>
  <si>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</si>
  <si>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</si>
  <si>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</si>
  <si>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</si>
  <si>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</si>
  <si>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</si>
  <si>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</si>
  <si>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</si>
  <si>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</si>
  <si>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</si>
  <si>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</si>
  <si>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</si>
  <si>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</si>
  <si>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</si>
  <si>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</si>
  <si>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</si>
  <si>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</si>
  <si>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</si>
  <si>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</si>
  <si>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92584T - závěs s pružinou a tlumením stříbrná</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</si>
  <si>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</si>
  <si>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</si>
  <si>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</si>
  <si>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</si>
  <si>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</si>
  <si>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</si>
  <si>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</si>
  <si>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</si>
  <si>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</si>
  <si>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</si>
  <si>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</si>
  <si>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</si>
  <si>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</si>
  <si>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</si>
  <si>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Distance from edge</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</si>
  <si>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</si>
  <si>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</si>
  <si>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</si>
  <si>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</si>
  <si>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</si>
  <si>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</si>
  <si>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</si>
  <si>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</si>
  <si>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</si>
  <si>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</si>
  <si>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</si>
  <si>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</si>
  <si>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</si>
  <si>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</si>
  <si>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</si>
  <si>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</si>
  <si>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</si>
  <si>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</si>
  <si>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</si>
  <si>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</si>
  <si>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</si>
  <si>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</si>
  <si>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</si>
  <si>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</si>
  <si>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</si>
  <si>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</si>
  <si>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</si>
  <si>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</si>
  <si>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</si>
  <si>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</si>
  <si>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</si>
  <si>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</si>
  <si>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</si>
  <si>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</si>
  <si>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</si>
  <si>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</si>
  <si>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</si>
  <si>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</si>
  <si>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</si>
  <si>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</si>
  <si>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</si>
  <si>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</si>
  <si>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</si>
  <si>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</si>
  <si>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</si>
  <si>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</si>
  <si>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</si>
  <si>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</si>
  <si>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</si>
  <si>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</si>
  <si>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</si>
  <si>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</si>
  <si>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</si>
  <si>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</si>
  <si>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</si>
  <si>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</si>
  <si>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</si>
  <si>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</si>
  <si>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</si>
  <si>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</si>
  <si>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</si>
  <si>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</si>
  <si>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</si>
  <si>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</si>
  <si>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</si>
  <si>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</si>
  <si>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</si>
  <si>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</si>
  <si>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</si>
  <si>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</si>
  <si>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</si>
  <si>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</si>
  <si>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</si>
  <si>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</si>
  <si>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</si>
  <si>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</si>
  <si>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</si>
  <si>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</si>
  <si>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</si>
  <si>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</si>
  <si>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</si>
  <si>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</si>
  <si>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</si>
  <si>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</si>
  <si>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</si>
  <si>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</si>
  <si>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</si>
  <si>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</si>
  <si>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</si>
  <si>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</si>
  <si>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</si>
  <si>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</si>
  <si>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</si>
  <si>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</si>
  <si>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</si>
  <si>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</si>
  <si>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</si>
  <si>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</si>
  <si>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</si>
  <si>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</si>
  <si>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</si>
  <si>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</si>
  <si>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</si>
  <si>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</si>
  <si>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</si>
  <si>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</si>
  <si>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</si>
  <si>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</si>
  <si>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</si>
  <si>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</si>
  <si>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</si>
  <si>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</si>
  <si>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</si>
  <si>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</si>
  <si>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</si>
  <si>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</si>
  <si>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</si>
  <si>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</si>
  <si>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</si>
  <si>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</si>
  <si>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</si>
  <si>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</si>
  <si>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</si>
  <si>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</si>
  <si>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</si>
  <si>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</si>
  <si>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</si>
  <si>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</si>
  <si>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</si>
  <si>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</si>
  <si>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</si>
  <si>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</si>
  <si>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</si>
  <si>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</si>
  <si>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</si>
  <si>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</si>
  <si>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</si>
  <si>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</si>
  <si>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</si>
  <si>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</si>
  <si>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</si>
  <si>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</si>
  <si>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</si>
  <si>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</si>
  <si>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</si>
  <si>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</si>
  <si>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</si>
  <si>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</si>
  <si>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</si>
  <si>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</si>
  <si>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</si>
  <si>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</si>
  <si>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</si>
  <si>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</si>
  <si>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</si>
  <si>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</si>
  <si>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</si>
  <si>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</si>
  <si>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</si>
  <si>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</si>
  <si>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</si>
  <si>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</si>
  <si>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</si>
  <si>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</si>
  <si>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</si>
  <si>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</si>
  <si>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</si>
  <si>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</si>
  <si>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</si>
  <si>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</si>
  <si>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</si>
  <si>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</si>
  <si>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</si>
  <si>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</si>
  <si>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</si>
  <si>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</si>
  <si>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</si>
  <si>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</si>
  <si>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</si>
  <si>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</si>
  <si>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</si>
  <si>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</si>
  <si>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</si>
  <si>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</si>
  <si>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</si>
  <si>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</si>
  <si>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</si>
  <si>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</si>
  <si>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</si>
  <si>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</si>
  <si>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</si>
  <si>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</si>
  <si>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</si>
  <si>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</si>
  <si>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</si>
  <si>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</si>
  <si>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</si>
  <si>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</si>
  <si>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</si>
  <si>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</si>
  <si>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</si>
  <si>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</si>
  <si>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</si>
  <si>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</si>
  <si>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</si>
  <si>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</si>
  <si>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</si>
  <si>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</si>
  <si>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</si>
  <si>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</si>
  <si>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</si>
  <si>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</si>
  <si>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</si>
  <si>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</si>
  <si>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</si>
  <si>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</si>
  <si>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</si>
  <si>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</si>
  <si>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</si>
  <si>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</si>
  <si>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</si>
  <si>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</si>
  <si>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</si>
  <si>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</si>
  <si>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</si>
  <si>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</si>
  <si>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</si>
  <si>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</si>
  <si>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</si>
  <si>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</si>
  <si>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</si>
  <si>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</si>
  <si>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</si>
  <si>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</si>
  <si>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</si>
  <si>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</si>
  <si>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</si>
  <si>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</si>
  <si>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</si>
  <si>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</si>
  <si>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</si>
  <si>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</si>
  <si>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</si>
  <si>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</si>
  <si>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</si>
  <si>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</si>
  <si>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</si>
  <si>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</si>
  <si>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</si>
  <si>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</si>
  <si>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</si>
  <si>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</si>
  <si>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</si>
  <si>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</si>
  <si>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</si>
  <si>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</si>
  <si>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</si>
  <si>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</si>
  <si>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</si>
  <si>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</si>
  <si>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</si>
  <si>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</si>
  <si>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</si>
  <si>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</si>
  <si>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</si>
  <si>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</si>
  <si>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</si>
  <si>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</si>
  <si>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</si>
  <si>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</si>
  <si>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</si>
  <si>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</si>
  <si>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</si>
  <si>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</si>
  <si>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</si>
  <si>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</si>
  <si>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</si>
  <si>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</si>
  <si>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</si>
  <si>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</si>
  <si>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</si>
  <si>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</si>
  <si>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</si>
  <si>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</si>
  <si>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</si>
  <si>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</si>
  <si>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</si>
  <si>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</si>
  <si>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</si>
  <si>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</si>
  <si>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</si>
  <si>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</si>
  <si>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</si>
  <si>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</si>
  <si>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</si>
  <si>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</si>
  <si>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</si>
  <si>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</si>
  <si>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</si>
  <si>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</si>
  <si>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</si>
  <si>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</si>
  <si>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</si>
  <si>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</si>
  <si>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</si>
  <si>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</si>
  <si>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</si>
  <si>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</si>
  <si>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</si>
  <si>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</si>
  <si>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</si>
  <si>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</si>
  <si>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</si>
  <si>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</si>
  <si>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</si>
  <si>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</si>
  <si>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</si>
  <si>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</si>
  <si>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</si>
  <si>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</si>
  <si>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</si>
  <si>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</si>
  <si>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</si>
  <si>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</si>
  <si>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</si>
  <si>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</si>
  <si>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</si>
  <si>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</si>
  <si>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</si>
  <si>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</si>
  <si>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</si>
  <si>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</si>
  <si>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</si>
  <si>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</si>
  <si>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</si>
  <si>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</si>
  <si>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</si>
  <si>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</si>
  <si>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</si>
  <si>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</si>
  <si>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</si>
  <si>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</si>
  <si>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</si>
  <si>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</si>
  <si>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</si>
  <si>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</si>
  <si>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</si>
  <si>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</si>
  <si>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</si>
  <si>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</si>
  <si>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</si>
  <si>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</si>
  <si>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</si>
  <si>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</si>
  <si>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</si>
  <si>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</si>
  <si>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</si>
  <si>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</si>
  <si>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</si>
  <si>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</si>
  <si>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</si>
  <si>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</si>
  <si>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</si>
  <si>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</si>
  <si>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</si>
  <si>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</si>
  <si>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</si>
  <si>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</si>
  <si>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</si>
  <si>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</si>
  <si>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</si>
  <si>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</si>
  <si>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</si>
  <si>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</si>
  <si>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</si>
  <si>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</si>
  <si>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</si>
  <si>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</si>
  <si>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</si>
  <si>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</si>
  <si>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</si>
  <si>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</si>
  <si>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</si>
  <si>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</si>
  <si>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</si>
  <si>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</si>
  <si>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</si>
  <si>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</si>
  <si>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</si>
  <si>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</si>
  <si>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</si>
  <si>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</si>
  <si>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</si>
  <si>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</si>
  <si>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</si>
  <si>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</si>
  <si>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</si>
  <si>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</si>
  <si>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</si>
  <si>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</si>
  <si>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</si>
  <si>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</si>
  <si>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</si>
  <si>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</si>
  <si>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</si>
  <si>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</si>
  <si>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</si>
  <si>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</si>
  <si>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</si>
  <si>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</si>
  <si>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</si>
  <si>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</si>
  <si>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</si>
  <si>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</si>
  <si>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</si>
  <si>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</si>
  <si>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</si>
  <si>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</si>
  <si>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</si>
  <si>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</si>
  <si>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</si>
  <si>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</si>
  <si>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</si>
  <si>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</si>
  <si>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</si>
  <si>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</si>
  <si>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</si>
  <si>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</si>
  <si>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</si>
  <si>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</si>
  <si>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</si>
  <si>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</si>
  <si>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</si>
  <si>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</si>
  <si>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</si>
  <si>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</si>
  <si>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</si>
  <si>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</si>
  <si>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</si>
  <si>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</si>
  <si>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</si>
  <si>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</si>
  <si>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</si>
  <si>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</si>
  <si>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</si>
  <si>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</si>
  <si>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</si>
  <si>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</si>
  <si>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</si>
  <si>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</si>
  <si>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</si>
  <si>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</si>
  <si>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</si>
  <si>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</si>
  <si>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</si>
  <si>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</si>
  <si>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</si>
  <si>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</si>
  <si>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</si>
  <si>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</si>
  <si>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</si>
  <si>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</si>
  <si>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</si>
  <si>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</si>
  <si>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</si>
  <si>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</si>
  <si>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</si>
  <si>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</si>
  <si>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</si>
  <si>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</si>
  <si>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</si>
  <si>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</si>
  <si>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</si>
  <si>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</si>
  <si>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</si>
  <si>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</si>
  <si>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</si>
  <si>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</si>
  <si>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</si>
  <si>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</si>
  <si>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</si>
  <si>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</si>
  <si>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</si>
  <si>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</si>
  <si>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</si>
  <si>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</si>
  <si>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</si>
  <si>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</si>
  <si>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</si>
  <si>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</si>
  <si>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</si>
  <si>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</si>
  <si>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</si>
  <si>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</si>
  <si>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</si>
  <si>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</si>
  <si>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</si>
  <si>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</si>
  <si>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</si>
  <si>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</si>
  <si>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</si>
  <si>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</si>
  <si>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</si>
  <si>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</si>
  <si>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</si>
  <si>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</si>
  <si>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</si>
  <si>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</si>
  <si>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</si>
  <si>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</si>
  <si>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</si>
  <si>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</si>
  <si>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</si>
  <si>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</si>
  <si>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</si>
  <si>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</si>
  <si>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</si>
  <si>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</si>
  <si>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</si>
  <si>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</si>
  <si>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</si>
  <si>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</si>
  <si>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</si>
  <si>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</si>
  <si>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</si>
  <si>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</si>
  <si>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</si>
  <si>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</si>
  <si>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</si>
  <si>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</si>
  <si>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</si>
  <si>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</si>
  <si>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</si>
  <si>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</si>
  <si>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</si>
  <si>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</si>
  <si>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</si>
  <si>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</si>
  <si>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</si>
  <si>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</si>
  <si>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</si>
  <si>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</si>
  <si>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</si>
  <si>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</si>
  <si>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</si>
  <si>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</si>
  <si>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</si>
  <si>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</si>
  <si>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</si>
  <si>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</si>
  <si>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</si>
  <si>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</si>
  <si>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</si>
  <si>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</si>
  <si>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</si>
  <si>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</si>
  <si>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</si>
  <si>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</si>
  <si>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</si>
  <si>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</si>
  <si>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</si>
  <si>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</si>
  <si>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</si>
  <si>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</si>
  <si>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</si>
  <si>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</si>
  <si>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</si>
  <si>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</si>
  <si>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</si>
  <si>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</si>
  <si>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</si>
  <si>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</si>
  <si>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</si>
  <si>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</si>
  <si>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</si>
  <si>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</si>
  <si>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</si>
  <si>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</si>
  <si>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</si>
  <si>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</si>
  <si>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</si>
  <si>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</si>
  <si>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</si>
  <si>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</si>
  <si>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</si>
  <si>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</si>
  <si>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</si>
  <si>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</si>
  <si>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</si>
  <si>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</si>
  <si>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</si>
  <si>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</si>
  <si>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</si>
  <si>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</si>
  <si>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</si>
  <si>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</si>
  <si>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</si>
  <si>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</si>
  <si>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</si>
  <si>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</si>
  <si>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</si>
  <si>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</si>
  <si>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</si>
  <si>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</si>
  <si>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</si>
  <si>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</si>
  <si>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</si>
  <si>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</si>
  <si>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</si>
  <si>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</si>
  <si>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</si>
  <si>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</si>
  <si>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</si>
  <si>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</si>
  <si>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</si>
  <si>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</si>
  <si>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</si>
  <si>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</si>
  <si>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</si>
  <si>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</si>
  <si>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</si>
  <si>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</si>
  <si>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</si>
  <si>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</si>
  <si>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</si>
  <si>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</si>
  <si>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</si>
  <si>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</si>
  <si>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</si>
  <si>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</si>
  <si>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</si>
  <si>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</si>
  <si>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</si>
  <si>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</si>
  <si>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</si>
  <si>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</si>
  <si>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</si>
  <si>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</si>
  <si>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</si>
  <si>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</si>
  <si>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</si>
  <si>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</si>
  <si>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</si>
  <si>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</si>
  <si>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</si>
  <si>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</si>
  <si>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</si>
  <si>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</si>
  <si>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</si>
  <si>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</si>
  <si>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</si>
  <si>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</si>
  <si>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</si>
  <si>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</si>
  <si>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</si>
  <si>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</si>
  <si>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</si>
  <si>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</si>
  <si>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</si>
  <si>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</si>
  <si>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</si>
  <si>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</si>
  <si>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</si>
  <si>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</si>
  <si>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</si>
  <si>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</si>
  <si>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</si>
  <si>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</si>
  <si>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</si>
  <si>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</si>
  <si>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</si>
  <si>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</si>
  <si>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</si>
  <si>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</si>
  <si>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</si>
  <si>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</si>
  <si>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</si>
  <si>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</si>
  <si>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</si>
  <si>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</si>
  <si>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</si>
  <si>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</si>
  <si>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</si>
  <si>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</si>
  <si>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</si>
  <si>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</si>
  <si>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</si>
  <si>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</si>
  <si>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</si>
  <si>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</si>
  <si>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</si>
  <si>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</si>
  <si>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</si>
  <si>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</si>
  <si>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</si>
  <si>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</si>
  <si>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</si>
  <si>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</si>
  <si>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</si>
  <si>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</si>
  <si>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</si>
  <si>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</si>
  <si>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</si>
  <si>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</si>
  <si>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</si>
  <si>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</si>
  <si>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</si>
  <si>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</si>
  <si>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</si>
  <si>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</si>
  <si>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</si>
  <si>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</si>
  <si>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</si>
  <si>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</si>
  <si>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</si>
  <si>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</si>
  <si>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</si>
  <si>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</si>
  <si>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</si>
  <si>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</si>
  <si>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</si>
  <si>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</si>
  <si>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</si>
  <si>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</si>
  <si>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</si>
  <si>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</si>
  <si>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</si>
  <si>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</si>
  <si>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</si>
  <si>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</si>
  <si>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</si>
  <si>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</si>
  <si>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</si>
  <si>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</si>
  <si>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</si>
  <si>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</si>
  <si>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</si>
  <si>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</si>
  <si>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</si>
  <si>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</si>
  <si>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</si>
  <si>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</si>
  <si>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</si>
  <si>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</si>
  <si>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</si>
  <si>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</si>
  <si>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</si>
  <si>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</si>
  <si>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</si>
  <si>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</si>
  <si>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</si>
  <si>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</si>
  <si>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</si>
  <si>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</si>
  <si>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</si>
  <si>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</si>
  <si>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</si>
  <si>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</si>
  <si>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</si>
  <si>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</si>
  <si>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</si>
  <si>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</si>
  <si>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</si>
  <si>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</si>
  <si>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</si>
  <si>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</si>
  <si>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</si>
  <si>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</si>
  <si>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</si>
  <si>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</si>
  <si>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</si>
  <si>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</si>
  <si>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</si>
  <si>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</si>
  <si>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</si>
  <si>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</si>
  <si>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</si>
  <si>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</si>
  <si>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</si>
  <si>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</si>
  <si>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</si>
  <si>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</si>
  <si>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</si>
  <si>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</si>
  <si>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</si>
  <si>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</si>
  <si>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</si>
  <si>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</si>
  <si>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</si>
  <si>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</si>
  <si>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</si>
  <si>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</si>
  <si>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</si>
  <si>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</si>
  <si>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</si>
  <si>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</si>
  <si>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</si>
  <si>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</si>
  <si>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</si>
  <si>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</si>
  <si>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</si>
  <si>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</si>
  <si>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</si>
  <si>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</si>
  <si>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</si>
  <si>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</si>
  <si>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</si>
  <si>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</si>
  <si>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</si>
  <si>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</si>
  <si>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</si>
  <si>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</si>
  <si>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</si>
  <si>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</si>
  <si>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</si>
  <si>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</si>
  <si>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</si>
  <si>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</si>
  <si>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</si>
  <si>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</si>
  <si>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</si>
  <si>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</si>
  <si>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</si>
  <si>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</si>
  <si>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</si>
  <si>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</si>
  <si>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</si>
  <si>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</si>
  <si>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</si>
  <si>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</si>
  <si>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</si>
  <si>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</si>
  <si>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</si>
  <si>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</si>
  <si>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</si>
  <si>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</si>
  <si>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</si>
  <si>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</si>
  <si>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</si>
  <si>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</si>
  <si>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</si>
  <si>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</si>
  <si>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</si>
  <si>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</si>
  <si>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Vzdálenost od okraje</t>
  </si>
  <si>
    <t>Vzdialenosť od okraja</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</si>
  <si>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</si>
  <si>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</si>
  <si>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</si>
  <si>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</si>
  <si>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</si>
  <si>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</si>
  <si>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</si>
  <si>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</si>
  <si>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</si>
  <si>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</si>
  <si>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</si>
  <si>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</si>
  <si>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</si>
  <si>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</si>
  <si>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</si>
  <si>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</si>
  <si>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</si>
  <si>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</si>
  <si>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</si>
  <si>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</si>
  <si>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</si>
  <si>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</si>
  <si>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</si>
  <si>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</si>
  <si>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</si>
  <si>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</si>
  <si>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</si>
  <si>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</si>
  <si>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</si>
  <si>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</si>
  <si>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</si>
  <si>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</si>
  <si>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</si>
  <si>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</si>
  <si>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</si>
  <si>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</si>
  <si>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</si>
  <si>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</si>
  <si>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</si>
  <si>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</si>
  <si>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</si>
  <si>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</si>
  <si>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</si>
  <si>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</si>
  <si>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</si>
  <si>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</si>
  <si>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</si>
  <si>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</si>
  <si>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</si>
  <si>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</si>
  <si>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</si>
  <si>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</si>
  <si>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</si>
  <si>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</si>
  <si>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</si>
  <si>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</si>
  <si>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</si>
  <si>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</si>
  <si>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</si>
  <si>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</si>
  <si>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</si>
  <si>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</si>
  <si>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</si>
  <si>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</si>
  <si>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</si>
  <si>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</si>
  <si>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</si>
  <si>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</si>
  <si>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</si>
  <si>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</si>
  <si>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</si>
  <si>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</si>
  <si>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</si>
  <si>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</si>
  <si>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</si>
  <si>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</si>
  <si>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</si>
  <si>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</si>
  <si>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</si>
  <si>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</si>
  <si>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</si>
  <si>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</si>
  <si>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</si>
  <si>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</si>
  <si>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</si>
  <si>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</si>
  <si>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</si>
  <si>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</si>
  <si>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síťka_pro_zlatýprofil</t>
  </si>
  <si>
    <t>síťka_pro_černýprofil</t>
  </si>
  <si>
    <t>síťka_pro_bílýprofil</t>
  </si>
  <si>
    <t>síťka_pro_eloxprofil</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</si>
  <si>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</si>
  <si>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</si>
  <si>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</si>
  <si>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</si>
  <si>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</si>
  <si>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</si>
  <si>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</si>
  <si>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</si>
  <si>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</si>
  <si>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</si>
  <si>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</si>
  <si>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</si>
  <si>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</si>
  <si>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</si>
  <si>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</si>
  <si>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</si>
  <si>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</si>
  <si>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</si>
  <si>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</si>
  <si>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</si>
  <si>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</si>
  <si>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</si>
  <si>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</si>
  <si>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</si>
  <si>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</si>
  <si>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</si>
  <si>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</si>
  <si>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</si>
  <si>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</si>
  <si>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</si>
  <si>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</si>
  <si>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</si>
  <si>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</si>
  <si>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</si>
  <si>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</si>
  <si>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</si>
  <si>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</si>
  <si>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</si>
  <si>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</si>
  <si>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</si>
  <si>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</si>
  <si>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</si>
  <si>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</si>
  <si>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</si>
  <si>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</si>
  <si>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</si>
  <si>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</si>
  <si>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</si>
  <si>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</si>
  <si>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</si>
  <si>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</si>
  <si>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</si>
  <si>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</si>
  <si>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</si>
  <si>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</si>
  <si>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</si>
  <si>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</si>
  <si>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</si>
  <si>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</si>
  <si>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</si>
  <si>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</si>
  <si>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</si>
  <si>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</si>
  <si>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</si>
  <si>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</si>
  <si>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</si>
  <si>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</si>
  <si>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</si>
  <si>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</si>
  <si>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</si>
  <si>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</si>
  <si>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</si>
  <si>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</si>
  <si>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</si>
  <si>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</si>
  <si>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</si>
  <si>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</si>
  <si>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</si>
  <si>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</si>
  <si>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STRONGHINGES závěs naložený na alu rámeček, s tlumením, klipový</t>
  </si>
  <si>
    <t>STRONGHINGES závěs naložený s tlumením, s excentrem, klipový</t>
  </si>
  <si>
    <t>STRONGHINGES závěs naložený, bez pružiny, klipový</t>
  </si>
  <si>
    <t>STRONGHINGES závěs polonaložený s tlumením, s excentrem, klipový</t>
  </si>
  <si>
    <t>STRONGHINGES závěs polonaložený, bez pružiny, klipový</t>
  </si>
  <si>
    <t>STRONGHINGES závěs vložený s tlumením, s excentrem,  klipový</t>
  </si>
  <si>
    <t>STRONGHINGES závěs vložený, bez pružiny, klipový</t>
  </si>
  <si>
    <t>STRONGHINGES závěs 30° s tlumením, klipový</t>
  </si>
  <si>
    <t>STRONGHINGES závěs 30° bez pružiny, klipový</t>
  </si>
  <si>
    <t>STRONGHINGES závěs naložený na alu rámeček, bez pružiny, klipový</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</si>
  <si>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</si>
  <si>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</si>
  <si>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</si>
  <si>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</si>
  <si>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</si>
  <si>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</si>
  <si>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</si>
  <si>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</si>
  <si>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</si>
  <si>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</si>
  <si>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</si>
  <si>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</si>
  <si>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</si>
  <si>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</si>
  <si>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</si>
  <si>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</si>
  <si>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</si>
  <si>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</si>
  <si>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</si>
  <si>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</si>
  <si>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</si>
  <si>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</si>
  <si>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</si>
  <si>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</si>
  <si>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</si>
  <si>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</si>
  <si>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</si>
  <si>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</si>
  <si>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</si>
  <si>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</si>
  <si>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</si>
  <si>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</si>
  <si>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</si>
  <si>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</si>
  <si>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</si>
  <si>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</si>
  <si>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</si>
  <si>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</si>
  <si>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</si>
  <si>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</si>
  <si>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</si>
  <si>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</si>
  <si>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</si>
  <si>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</si>
  <si>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</si>
  <si>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</si>
  <si>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</si>
  <si>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</si>
  <si>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</si>
  <si>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</si>
  <si>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</si>
  <si>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</si>
  <si>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</si>
  <si>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</si>
  <si>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</si>
  <si>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</si>
  <si>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</si>
  <si>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</si>
  <si>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</si>
  <si>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</si>
  <si>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</si>
  <si>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</si>
  <si>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</si>
  <si>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</si>
  <si>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</si>
  <si>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</si>
  <si>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</si>
  <si>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</si>
  <si>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</si>
  <si>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</si>
  <si>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</si>
  <si>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</si>
  <si>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</si>
  <si>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</si>
  <si>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</si>
  <si>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</si>
  <si>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</si>
  <si>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</si>
  <si>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</si>
  <si>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</si>
  <si>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</si>
  <si>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</si>
  <si>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</si>
  <si>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</si>
  <si>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</si>
  <si>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</si>
  <si>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</si>
  <si>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</si>
  <si>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</si>
  <si>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</si>
  <si>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</si>
  <si>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</si>
  <si>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</si>
  <si>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</si>
  <si>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</si>
  <si>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</si>
  <si>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</si>
  <si>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</si>
  <si>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</si>
  <si>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</si>
  <si>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</si>
  <si>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</si>
  <si>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</si>
  <si>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</si>
  <si>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</si>
  <si>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</si>
  <si>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</si>
  <si>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</si>
  <si>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</si>
  <si>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</si>
  <si>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</si>
  <si>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</si>
  <si>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</si>
  <si>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</si>
  <si>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</si>
  <si>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</si>
  <si>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</si>
  <si>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</si>
  <si>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</si>
  <si>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</si>
  <si>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</si>
  <si>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</si>
  <si>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</si>
  <si>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</si>
  <si>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</si>
  <si>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</si>
  <si>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</si>
  <si>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</si>
  <si>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</si>
  <si>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</si>
  <si>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</si>
  <si>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</si>
  <si>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</si>
  <si>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</si>
  <si>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</si>
  <si>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</si>
  <si>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</si>
  <si>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</si>
  <si>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</si>
  <si>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</si>
  <si>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</si>
  <si>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</si>
  <si>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</si>
  <si>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</si>
  <si>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</si>
  <si>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</si>
  <si>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</si>
  <si>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</si>
  <si>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</si>
  <si>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</si>
  <si>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</si>
  <si>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</si>
  <si>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</si>
  <si>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</si>
  <si>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</si>
  <si>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</si>
  <si>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</si>
  <si>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</si>
  <si>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</si>
  <si>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</si>
  <si>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</si>
  <si>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</si>
  <si>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</si>
  <si>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</si>
  <si>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</si>
  <si>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</si>
  <si>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</si>
  <si>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</si>
  <si>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</si>
  <si>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</si>
  <si>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</si>
  <si>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</si>
  <si>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</si>
  <si>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</si>
  <si>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</si>
  <si>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</si>
  <si>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</si>
  <si>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</si>
  <si>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</si>
  <si>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</si>
  <si>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</si>
  <si>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</si>
  <si>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</si>
  <si>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</si>
  <si>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</si>
  <si>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</si>
  <si>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</si>
  <si>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</si>
  <si>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</si>
  <si>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</si>
  <si>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</si>
  <si>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</si>
  <si>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</si>
  <si>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</si>
  <si>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</si>
  <si>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</si>
  <si>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</si>
  <si>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</si>
  <si>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</si>
  <si>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</si>
  <si>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</si>
  <si>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</si>
  <si>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</si>
  <si>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</si>
  <si>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</si>
  <si>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</si>
  <si>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</si>
  <si>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</si>
  <si>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</si>
  <si>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</si>
  <si>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</si>
  <si>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</si>
  <si>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</si>
  <si>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</si>
  <si>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</si>
  <si>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</si>
  <si>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</si>
  <si>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</si>
  <si>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</si>
  <si>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</si>
  <si>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</si>
  <si>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</si>
  <si>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</si>
  <si>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</si>
  <si>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</si>
  <si>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</si>
  <si>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</si>
  <si>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</si>
  <si>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</si>
  <si>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</si>
  <si>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</si>
  <si>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</si>
  <si>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</si>
  <si>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</si>
  <si>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</si>
  <si>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</si>
  <si>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</si>
  <si>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</si>
  <si>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</si>
  <si>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</si>
  <si>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</si>
  <si>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</si>
  <si>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</si>
  <si>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</si>
  <si>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</si>
  <si>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</si>
  <si>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</si>
  <si>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</si>
  <si>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</si>
  <si>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</si>
  <si>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</si>
  <si>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</si>
  <si>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</si>
  <si>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</si>
  <si>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</si>
  <si>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</si>
  <si>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</si>
  <si>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</si>
  <si>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</si>
  <si>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</si>
  <si>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</si>
  <si>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</si>
  <si>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</si>
  <si>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</si>
  <si>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</si>
  <si>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</si>
  <si>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</si>
  <si>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</si>
  <si>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</si>
  <si>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</si>
  <si>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</si>
  <si>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</si>
  <si>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</si>
  <si>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</si>
  <si>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</si>
  <si>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</si>
  <si>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</si>
  <si>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</si>
  <si>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</si>
  <si>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</si>
  <si>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</si>
  <si>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</si>
  <si>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</si>
  <si>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</si>
  <si>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</si>
  <si>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</si>
  <si>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</si>
  <si>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</si>
  <si>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</si>
  <si>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</si>
  <si>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</si>
  <si>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</si>
  <si>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</si>
  <si>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</si>
  <si>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</si>
  <si>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</si>
  <si>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</si>
  <si>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</si>
  <si>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</si>
  <si>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</si>
  <si>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</si>
  <si>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</si>
  <si>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</si>
  <si>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</si>
  <si>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</si>
  <si>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</si>
  <si>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</si>
  <si>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</si>
  <si>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</si>
  <si>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</si>
  <si>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</si>
  <si>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</si>
  <si>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</si>
  <si>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</si>
  <si>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</si>
  <si>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</si>
  <si>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</si>
  <si>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</si>
  <si>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</si>
  <si>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</si>
  <si>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</si>
  <si>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</si>
  <si>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</si>
  <si>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</si>
  <si>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</si>
  <si>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</si>
  <si>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</si>
  <si>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</si>
  <si>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</si>
  <si>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</si>
  <si>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</si>
  <si>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</si>
  <si>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</si>
  <si>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</si>
  <si>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</si>
  <si>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</si>
  <si>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</si>
  <si>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</si>
  <si>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</si>
  <si>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</si>
  <si>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</si>
  <si>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</si>
  <si>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</si>
  <si>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</si>
  <si>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</si>
  <si>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</si>
  <si>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</si>
  <si>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</si>
  <si>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</si>
  <si>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</si>
  <si>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</si>
  <si>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</si>
  <si>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</si>
  <si>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</si>
  <si>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</si>
  <si>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</si>
  <si>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</si>
  <si>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</si>
  <si>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</si>
  <si>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</si>
  <si>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</si>
  <si>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</si>
  <si>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</si>
  <si>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</si>
  <si>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</si>
  <si>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</si>
  <si>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</si>
  <si>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</si>
  <si>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</si>
  <si>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</si>
  <si>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</si>
  <si>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</si>
  <si>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</si>
  <si>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</si>
  <si>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</si>
  <si>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</si>
  <si>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</si>
  <si>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</si>
  <si>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</si>
  <si>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</si>
  <si>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</si>
  <si>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</si>
  <si>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</si>
  <si>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</si>
  <si>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</si>
  <si>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</si>
  <si>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</si>
  <si>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</si>
  <si>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</si>
  <si>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</si>
  <si>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</si>
  <si>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</si>
  <si>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</si>
  <si>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</si>
  <si>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</si>
  <si>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</si>
  <si>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</si>
  <si>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</si>
  <si>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</si>
  <si>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</si>
  <si>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</si>
  <si>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</si>
  <si>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</si>
  <si>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</si>
  <si>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</si>
  <si>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</si>
  <si>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</si>
  <si>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</si>
  <si>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</si>
  <si>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</si>
  <si>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</si>
  <si>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</si>
  <si>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</si>
  <si>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</si>
  <si>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</si>
  <si>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</si>
  <si>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</si>
  <si>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</si>
  <si>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</si>
  <si>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</si>
  <si>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</si>
  <si>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</si>
  <si>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</si>
  <si>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</si>
  <si>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</si>
  <si>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</si>
  <si>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</si>
  <si>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</si>
  <si>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</si>
  <si>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</si>
  <si>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</si>
  <si>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</si>
  <si>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</si>
  <si>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</si>
  <si>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</si>
  <si>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</si>
  <si>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</si>
  <si>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</si>
  <si>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</si>
  <si>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</si>
  <si>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</si>
  <si>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</si>
  <si>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</si>
  <si>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</si>
  <si>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</si>
  <si>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</si>
  <si>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</si>
  <si>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</si>
  <si>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</si>
  <si>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</si>
  <si>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</si>
  <si>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</si>
  <si>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</si>
  <si>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</si>
  <si>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</si>
  <si>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</si>
  <si>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</si>
  <si>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</si>
  <si>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</si>
  <si>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</si>
  <si>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</si>
  <si>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</si>
  <si>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</si>
  <si>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</si>
  <si>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</si>
  <si>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</si>
  <si>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</si>
  <si>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</si>
  <si>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</si>
  <si>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</si>
  <si>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</si>
  <si>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</si>
  <si>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</si>
  <si>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</si>
  <si>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</si>
  <si>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</si>
  <si>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</si>
  <si>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</si>
  <si>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</si>
  <si>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</si>
  <si>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</si>
  <si>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</si>
  <si>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</si>
  <si>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</si>
  <si>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</si>
  <si>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</si>
  <si>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</si>
  <si>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</si>
  <si>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</si>
  <si>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</si>
  <si>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</si>
  <si>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</si>
  <si>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</si>
  <si>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</si>
  <si>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</si>
  <si>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</si>
  <si>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</si>
  <si>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</si>
  <si>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</si>
  <si>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</si>
  <si>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</si>
  <si>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</si>
  <si>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</si>
  <si>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</si>
  <si>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</si>
  <si>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</si>
  <si>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</si>
  <si>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</si>
  <si>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</si>
  <si>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</si>
  <si>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</si>
  <si>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</si>
  <si>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</si>
  <si>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</si>
  <si>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</si>
  <si>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</si>
  <si>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</si>
  <si>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</si>
  <si>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</si>
  <si>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</si>
  <si>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</si>
  <si>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</si>
  <si>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</si>
  <si>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</si>
  <si>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</si>
  <si>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</si>
  <si>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</si>
  <si>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</si>
  <si>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</si>
  <si>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</si>
  <si>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</si>
  <si>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</si>
  <si>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</si>
  <si>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</si>
  <si>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</si>
  <si>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</si>
  <si>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</si>
  <si>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</si>
  <si>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</si>
  <si>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</si>
  <si>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</si>
  <si>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</si>
  <si>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</si>
  <si>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</si>
  <si>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</si>
  <si>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</si>
  <si>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</si>
  <si>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</si>
  <si>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</si>
  <si>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</si>
  <si>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</si>
  <si>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</si>
  <si>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</si>
  <si>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</si>
  <si>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</si>
  <si>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</si>
  <si>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</si>
  <si>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</si>
  <si>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</si>
  <si>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</si>
  <si>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</si>
  <si>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</si>
  <si>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</si>
  <si>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</si>
  <si>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</si>
  <si>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</si>
  <si>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</si>
  <si>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</si>
  <si>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</si>
  <si>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</si>
  <si>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</si>
  <si>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</si>
  <si>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</si>
  <si>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</si>
  <si>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</si>
  <si>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</si>
  <si>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</si>
  <si>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</si>
  <si>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</si>
  <si>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</si>
  <si>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</si>
  <si>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</si>
  <si>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</si>
  <si>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</si>
  <si>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</si>
  <si>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</si>
  <si>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</si>
  <si>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</si>
  <si>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</si>
  <si>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</si>
  <si>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</si>
  <si>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</si>
  <si>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</si>
  <si>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</si>
  <si>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</si>
  <si>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</si>
  <si>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</si>
  <si>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</si>
  <si>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</si>
  <si>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</si>
  <si>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</si>
  <si>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</si>
  <si>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</si>
  <si>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</si>
  <si>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</si>
  <si>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</si>
  <si>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</si>
  <si>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</si>
  <si>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</si>
  <si>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</si>
  <si>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</si>
  <si>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</si>
  <si>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</si>
  <si>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</si>
  <si>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</si>
  <si>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</si>
  <si>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</si>
  <si>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</si>
  <si>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</si>
  <si>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</si>
  <si>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</si>
  <si>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</si>
  <si>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</si>
  <si>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</si>
  <si>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</si>
  <si>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</si>
  <si>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</si>
  <si>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</si>
  <si>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</si>
  <si>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</si>
  <si>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</si>
  <si>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</si>
  <si>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</si>
  <si>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</si>
  <si>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</si>
  <si>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</si>
  <si>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</si>
  <si>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</si>
  <si>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</si>
  <si>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</si>
  <si>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</si>
  <si>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</si>
  <si>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</si>
  <si>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</si>
  <si>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</si>
  <si>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</si>
  <si>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</si>
  <si>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</si>
  <si>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</si>
  <si>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</si>
  <si>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</si>
  <si>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</si>
  <si>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</si>
  <si>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</si>
  <si>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</si>
  <si>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</si>
  <si>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</si>
  <si>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</si>
  <si>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</si>
  <si>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</si>
  <si>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</si>
  <si>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</si>
  <si>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</si>
  <si>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</si>
  <si>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</si>
  <si>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</si>
  <si>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</si>
  <si>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</si>
  <si>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</si>
  <si>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</si>
  <si>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</si>
  <si>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</si>
  <si>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</si>
  <si>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</si>
  <si>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</si>
  <si>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</si>
  <si>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</si>
  <si>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</si>
  <si>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</si>
  <si>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</si>
  <si>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</si>
  <si>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</si>
  <si>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</si>
  <si>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</si>
  <si>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</si>
  <si>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</si>
  <si>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</si>
  <si>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</si>
  <si>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</si>
  <si>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</si>
  <si>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</si>
  <si>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</si>
  <si>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</si>
  <si>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</si>
  <si>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</si>
  <si>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</si>
  <si>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</si>
  <si>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</si>
  <si>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</si>
  <si>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</si>
  <si>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</si>
  <si>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</si>
  <si>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</si>
  <si>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</si>
  <si>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</si>
  <si>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</si>
  <si>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</si>
  <si>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</si>
  <si>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</si>
  <si>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</si>
  <si>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</si>
  <si>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</si>
  <si>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blum z tłumieniem 12047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</si>
  <si>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</si>
  <si>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</si>
  <si>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</si>
  <si>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</si>
  <si>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</si>
  <si>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</si>
  <si>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</si>
  <si>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</si>
  <si>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</si>
  <si>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</si>
  <si>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</si>
  <si>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</si>
  <si>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</si>
  <si>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</si>
  <si>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strong alsó 350863</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</si>
  <si>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</si>
  <si>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</si>
  <si>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</si>
  <si>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</si>
  <si>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</si>
  <si>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</si>
  <si>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</si>
  <si>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</si>
  <si>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</si>
  <si>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</si>
  <si>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</si>
  <si>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</si>
  <si>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</si>
  <si>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</si>
  <si>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</si>
  <si>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</si>
  <si>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</si>
  <si>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</si>
  <si>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</si>
  <si>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</si>
  <si>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</si>
  <si>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</si>
  <si>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</si>
  <si>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</si>
  <si>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</si>
  <si>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</si>
  <si>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</si>
  <si>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</si>
  <si>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</si>
  <si>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</si>
  <si>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</si>
  <si>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</si>
  <si>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</si>
  <si>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</si>
  <si>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</si>
  <si>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</si>
  <si>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</si>
  <si>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</si>
  <si>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</si>
  <si>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</si>
  <si>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</si>
  <si>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</si>
  <si>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</si>
  <si>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</si>
  <si>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</si>
  <si>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</si>
  <si>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</si>
  <si>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</si>
  <si>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</si>
  <si>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</si>
  <si>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</si>
  <si>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</si>
  <si>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</si>
  <si>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</si>
  <si>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</si>
  <si>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</si>
  <si>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</si>
  <si>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</si>
  <si>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</si>
  <si>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</si>
  <si>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</si>
  <si>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</si>
  <si>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</si>
  <si>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</si>
  <si>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</si>
  <si>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</si>
  <si>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</si>
  <si>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</si>
  <si>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</si>
  <si>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</si>
  <si>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</si>
  <si>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</si>
  <si>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</si>
  <si>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</si>
  <si>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</si>
  <si>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</si>
  <si>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</si>
  <si>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</si>
  <si>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</si>
  <si>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</si>
  <si>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</si>
  <si>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</si>
  <si>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</si>
  <si>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</si>
  <si>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</si>
  <si>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</si>
  <si>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</si>
  <si>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</si>
  <si>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</si>
  <si>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</si>
  <si>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</si>
  <si>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</si>
  <si>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</si>
  <si>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</si>
  <si>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</si>
  <si>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</si>
  <si>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</si>
  <si>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</si>
  <si>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</si>
  <si>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</si>
  <si>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</si>
  <si>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</si>
  <si>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</si>
  <si>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</si>
  <si>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</si>
  <si>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</si>
  <si>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</si>
  <si>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</si>
  <si>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</si>
  <si>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</si>
  <si>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</si>
  <si>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</si>
  <si>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</si>
  <si>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</si>
  <si>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</si>
  <si>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</si>
  <si>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</si>
  <si>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</si>
  <si>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</si>
  <si>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</si>
  <si>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</si>
  <si>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</si>
  <si>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</si>
  <si>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</si>
  <si>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</si>
  <si>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</si>
  <si>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</si>
  <si>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</si>
  <si>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</si>
  <si>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</si>
  <si>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</si>
  <si>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</si>
  <si>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</si>
  <si>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</si>
  <si>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</si>
  <si>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</si>
  <si>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</si>
  <si>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</si>
  <si>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</si>
  <si>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</si>
  <si>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</si>
  <si>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</si>
  <si>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</si>
  <si>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</si>
  <si>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</si>
  <si>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</si>
  <si>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</si>
  <si>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</si>
  <si>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</si>
  <si>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</si>
  <si>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</si>
  <si>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</si>
  <si>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</si>
  <si>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</si>
  <si>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</si>
  <si>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</si>
  <si>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</si>
  <si>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</si>
  <si>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</si>
  <si>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</si>
  <si>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</si>
  <si>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</si>
  <si>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</si>
  <si>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</si>
  <si>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</si>
  <si>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</si>
  <si>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</si>
  <si>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</si>
  <si>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</si>
  <si>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</si>
  <si>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</si>
  <si>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</si>
  <si>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</si>
  <si>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</si>
  <si>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</si>
  <si>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</si>
  <si>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</si>
  <si>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</si>
  <si>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</si>
  <si>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</si>
  <si>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</si>
  <si>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</si>
  <si>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</si>
  <si>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</si>
  <si>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</si>
  <si>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</si>
  <si>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</si>
  <si>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</si>
  <si>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</si>
  <si>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blum z tłumieniem 118033</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</si>
  <si>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</si>
  <si>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</si>
  <si>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</si>
  <si>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</si>
  <si>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</si>
  <si>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</si>
  <si>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</si>
  <si>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</si>
  <si>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</si>
  <si>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</si>
  <si>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</si>
  <si>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</si>
  <si>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</si>
  <si>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</si>
  <si>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</si>
  <si>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</si>
  <si>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</si>
  <si>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</si>
  <si>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</si>
  <si>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</si>
  <si>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</si>
  <si>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</si>
  <si>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</si>
  <si>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</si>
  <si>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</si>
  <si>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</si>
  <si>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</si>
  <si>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</si>
  <si>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</si>
  <si>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</si>
  <si>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</si>
  <si>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</si>
  <si>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</si>
  <si>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</si>
  <si>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</si>
  <si>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</si>
  <si>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</si>
  <si>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</si>
  <si>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</si>
  <si>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</si>
  <si>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</si>
  <si>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</si>
  <si>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</si>
  <si>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</si>
  <si>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</si>
  <si>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</si>
  <si>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</si>
  <si>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</si>
  <si>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</si>
  <si>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</si>
  <si>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</si>
  <si>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</si>
  <si>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</si>
  <si>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</si>
  <si>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</si>
  <si>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</si>
  <si>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</si>
  <si>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</si>
  <si>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</si>
  <si>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</si>
  <si>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</si>
  <si>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</si>
  <si>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</si>
  <si>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</si>
  <si>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</si>
  <si>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</si>
  <si>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</si>
  <si>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</si>
  <si>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</si>
  <si>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</si>
  <si>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</si>
  <si>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</si>
  <si>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</si>
  <si>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</si>
  <si>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</si>
  <si>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</si>
  <si>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</si>
  <si>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</si>
  <si>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</si>
  <si>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</si>
  <si>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</si>
  <si>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</si>
  <si>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</si>
  <si>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</si>
  <si>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</si>
  <si>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</si>
  <si>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</si>
  <si>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</si>
  <si>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</si>
  <si>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</si>
  <si>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</si>
  <si>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</si>
  <si>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</si>
  <si>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</si>
  <si>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</si>
  <si>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</si>
  <si>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</si>
  <si>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</si>
  <si>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</si>
  <si>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</si>
  <si>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</si>
  <si>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</si>
  <si>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</si>
  <si>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</si>
  <si>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</si>
  <si>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</si>
  <si>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</si>
  <si>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</si>
  <si>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</si>
  <si>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</si>
  <si>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</si>
  <si>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</si>
  <si>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</si>
  <si>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</si>
  <si>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</si>
  <si>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</si>
  <si>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</si>
  <si>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</si>
  <si>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</si>
  <si>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</si>
  <si>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</si>
  <si>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</si>
  <si>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</si>
  <si>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</si>
  <si>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</si>
  <si>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</si>
  <si>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</si>
  <si>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</si>
  <si>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</si>
  <si>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</si>
  <si>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</si>
  <si>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</si>
  <si>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</si>
  <si>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</si>
  <si>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</si>
  <si>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</si>
  <si>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</si>
  <si>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</si>
  <si>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</si>
  <si>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</si>
  <si>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</si>
  <si>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</si>
  <si>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</si>
  <si>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</si>
  <si>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</si>
  <si>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</si>
  <si>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</si>
  <si>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</si>
  <si>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</si>
  <si>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</si>
  <si>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</si>
  <si>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</si>
  <si>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</si>
  <si>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</si>
  <si>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</si>
  <si>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</si>
  <si>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</si>
  <si>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</si>
  <si>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</si>
  <si>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</si>
  <si>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</si>
  <si>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</si>
  <si>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</si>
  <si>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</si>
  <si>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</si>
  <si>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</si>
  <si>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</si>
  <si>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</si>
  <si>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</si>
  <si>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</si>
  <si>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</si>
  <si>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</si>
  <si>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</si>
  <si>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</si>
  <si>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</si>
  <si>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</si>
  <si>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</si>
  <si>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</si>
  <si>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</si>
  <si>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</si>
  <si>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</si>
  <si>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</si>
  <si>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</si>
  <si>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</si>
  <si>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</si>
  <si>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</si>
  <si>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</si>
  <si>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</si>
  <si>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</si>
  <si>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</si>
  <si>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</si>
  <si>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</si>
  <si>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</si>
  <si>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</si>
  <si>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</si>
  <si>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</si>
  <si>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</si>
  <si>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</si>
  <si>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</si>
  <si>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</si>
  <si>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</si>
  <si>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</si>
  <si>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</si>
  <si>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</si>
  <si>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</si>
  <si>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</si>
  <si>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</si>
  <si>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</si>
  <si>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</si>
  <si>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</si>
  <si>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</si>
  <si>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</si>
  <si>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</si>
  <si>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</si>
  <si>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</si>
  <si>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</si>
  <si>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</si>
  <si>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</si>
  <si>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</si>
  <si>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</si>
  <si>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</si>
  <si>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</si>
  <si>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</si>
  <si>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</si>
  <si>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</si>
  <si>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</si>
  <si>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</si>
  <si>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</si>
  <si>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</si>
  <si>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</si>
  <si>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</si>
  <si>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</si>
  <si>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</si>
  <si>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</si>
  <si>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</si>
  <si>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</si>
  <si>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</si>
  <si>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</si>
  <si>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</si>
  <si>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</si>
  <si>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</si>
  <si>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</si>
  <si>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</si>
  <si>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</si>
  <si>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</si>
  <si>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</si>
  <si>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</si>
  <si>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</si>
  <si>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</si>
  <si>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</si>
  <si>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</si>
  <si>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</si>
  <si>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</si>
  <si>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</si>
  <si>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</si>
  <si>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</si>
  <si>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</si>
  <si>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</si>
  <si>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</si>
  <si>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</si>
  <si>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</si>
  <si>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</si>
  <si>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</si>
  <si>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</si>
  <si>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</si>
  <si>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</si>
  <si>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</si>
  <si>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</si>
  <si>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</si>
  <si>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</si>
  <si>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</si>
  <si>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</si>
  <si>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</si>
  <si>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</si>
  <si>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</si>
  <si>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</si>
  <si>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</si>
  <si>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</si>
  <si>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</si>
  <si>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</si>
  <si>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</si>
  <si>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</si>
  <si>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</si>
  <si>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</si>
  <si>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</si>
  <si>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</si>
  <si>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</si>
  <si>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</si>
  <si>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</si>
  <si>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</si>
  <si>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</si>
  <si>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</si>
  <si>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</si>
  <si>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</si>
  <si>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</si>
  <si>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</si>
  <si>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</si>
  <si>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</si>
  <si>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</si>
  <si>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</si>
  <si>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</si>
  <si>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</si>
  <si>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</si>
  <si>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</si>
  <si>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</si>
  <si>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</si>
  <si>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</si>
  <si>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</si>
  <si>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</si>
  <si>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</si>
  <si>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</si>
  <si>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</si>
  <si>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</si>
  <si>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</si>
  <si>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</si>
  <si>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</si>
  <si>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</si>
  <si>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</si>
  <si>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</si>
  <si>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Koszt transportu musi zostać zweryfikowany</t>
  </si>
  <si>
    <t>0-600</t>
  </si>
  <si>
    <t>601-800</t>
  </si>
  <si>
    <t>801-1499</t>
  </si>
  <si>
    <t>1500-1999</t>
  </si>
  <si>
    <t>2000-2499</t>
  </si>
  <si>
    <t>nad 2500</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</si>
  <si>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</si>
  <si>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</si>
  <si>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</si>
  <si>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</si>
  <si>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</si>
  <si>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</si>
  <si>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</si>
  <si>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</si>
  <si>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</si>
  <si>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</si>
  <si>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</si>
  <si>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</si>
  <si>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</si>
  <si>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</si>
  <si>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</si>
  <si>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</si>
  <si>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</si>
  <si>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</si>
  <si>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</si>
  <si>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</si>
  <si>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</si>
  <si>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</si>
  <si>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</si>
  <si>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</si>
  <si>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</si>
  <si>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</si>
  <si>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do 1499 x 600 mm</t>
  </si>
  <si>
    <t>max wymiar ramki</t>
  </si>
  <si>
    <t>Na palecie</t>
  </si>
  <si>
    <t>Ramki w elementach, same profile (bez szkła):</t>
  </si>
  <si>
    <t>profile o max długości</t>
  </si>
  <si>
    <t>do 1000 mm</t>
  </si>
  <si>
    <t>Koszty transportu &gt;</t>
  </si>
  <si>
    <t>106,00 zł</t>
  </si>
  <si>
    <t>297,50 zł</t>
  </si>
  <si>
    <t>351,00 zł</t>
  </si>
  <si>
    <t>456,50 zł</t>
  </si>
  <si>
    <t>35,35 zł</t>
  </si>
  <si>
    <t>49,70 zł</t>
  </si>
  <si>
    <t>61,20 zł</t>
  </si>
  <si>
    <t>95,55 zł</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</si>
  <si>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</si>
  <si>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</si>
  <si>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</si>
  <si>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</si>
  <si>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</si>
  <si>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</si>
  <si>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</si>
  <si>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</si>
  <si>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</si>
  <si>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</si>
  <si>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</si>
  <si>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</si>
  <si>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</si>
  <si>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</si>
  <si>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</si>
  <si>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</si>
  <si>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</si>
  <si>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</si>
  <si>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</si>
  <si>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</si>
  <si>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</si>
  <si>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</si>
  <si>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</si>
  <si>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</si>
  <si>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</si>
  <si>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</si>
  <si>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</si>
  <si>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</si>
  <si>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</si>
  <si>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</si>
  <si>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</si>
  <si>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</si>
  <si>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</si>
  <si>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</si>
  <si>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</si>
  <si>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</si>
  <si>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</si>
  <si>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</si>
  <si>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</si>
  <si>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</si>
  <si>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</si>
  <si>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</si>
  <si>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</si>
  <si>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</si>
  <si>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</si>
  <si>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</si>
  <si>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</si>
  <si>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</si>
  <si>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</si>
  <si>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</si>
  <si>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</si>
  <si>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</si>
  <si>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</si>
  <si>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</si>
  <si>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</si>
  <si>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</si>
  <si>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</si>
  <si>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</si>
  <si>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</si>
  <si>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</si>
  <si>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</si>
  <si>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</si>
  <si>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</si>
  <si>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</si>
  <si>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</si>
  <si>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</si>
  <si>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</si>
  <si>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</si>
  <si>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</si>
  <si>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</si>
  <si>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</si>
  <si>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</si>
  <si>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</si>
  <si>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</si>
  <si>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</si>
  <si>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</si>
  <si>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</si>
  <si>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</si>
  <si>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</si>
  <si>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</si>
  <si>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</si>
  <si>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</si>
  <si>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</si>
  <si>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</si>
  <si>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</si>
  <si>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</si>
  <si>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</si>
  <si>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</si>
  <si>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</si>
  <si>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</si>
  <si>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</si>
  <si>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</si>
  <si>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</si>
  <si>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</si>
  <si>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</si>
  <si>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</si>
  <si>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</si>
  <si>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</si>
  <si>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</si>
  <si>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</si>
  <si>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</si>
  <si>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</si>
  <si>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</si>
  <si>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</si>
  <si>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</si>
  <si>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</si>
  <si>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</si>
  <si>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</si>
  <si>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</si>
  <si>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</si>
  <si>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</si>
  <si>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</si>
  <si>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</si>
  <si>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</si>
  <si>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</si>
  <si>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</si>
  <si>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</si>
  <si>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</si>
  <si>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</si>
  <si>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</si>
  <si>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</si>
  <si>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</si>
  <si>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</si>
  <si>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</si>
  <si>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</si>
  <si>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</si>
  <si>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</si>
  <si>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</si>
  <si>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</si>
  <si>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</si>
  <si>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</si>
  <si>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</si>
  <si>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</si>
  <si>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</si>
  <si>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</si>
  <si>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</si>
  <si>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</si>
  <si>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</si>
  <si>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</si>
  <si>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</si>
  <si>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</si>
  <si>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</si>
  <si>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</si>
  <si>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</si>
  <si>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</si>
  <si>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</si>
  <si>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</si>
  <si>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</si>
  <si>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</si>
  <si>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</si>
  <si>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</si>
  <si>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</si>
  <si>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</si>
  <si>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</si>
  <si>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</si>
  <si>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</si>
  <si>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</si>
  <si>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</si>
  <si>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</si>
  <si>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</si>
  <si>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</si>
  <si>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</si>
  <si>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</si>
  <si>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</si>
  <si>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</si>
  <si>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</si>
  <si>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</si>
  <si>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</si>
  <si>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</si>
  <si>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</si>
  <si>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</si>
  <si>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</si>
  <si>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</si>
  <si>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</si>
  <si>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</si>
  <si>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</si>
  <si>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</si>
  <si>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</si>
  <si>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</si>
  <si>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</si>
  <si>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</si>
  <si>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</si>
  <si>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</si>
  <si>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</si>
  <si>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</si>
  <si>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</si>
  <si>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</si>
  <si>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</si>
  <si>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</si>
  <si>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</si>
  <si>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</si>
  <si>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</si>
  <si>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</si>
  <si>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</si>
  <si>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</si>
  <si>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</si>
  <si>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</si>
  <si>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</si>
  <si>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</si>
  <si>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</si>
  <si>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</si>
  <si>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</si>
  <si>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</si>
  <si>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</si>
  <si>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</si>
  <si>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</si>
  <si>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</si>
  <si>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</si>
  <si>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</si>
  <si>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</si>
  <si>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</si>
  <si>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</si>
  <si>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</si>
  <si>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</si>
  <si>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</si>
  <si>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</si>
  <si>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</si>
  <si>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</si>
  <si>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</si>
  <si>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</si>
  <si>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</si>
  <si>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</si>
  <si>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</si>
  <si>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</si>
  <si>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</si>
  <si>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</si>
  <si>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</si>
  <si>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</si>
  <si>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</si>
  <si>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</si>
  <si>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</si>
  <si>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</si>
  <si>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</si>
  <si>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</si>
  <si>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</si>
  <si>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</si>
  <si>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</si>
  <si>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</si>
  <si>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</si>
  <si>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</si>
  <si>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</si>
  <si>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</si>
  <si>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</si>
  <si>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</si>
  <si>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</si>
  <si>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</si>
  <si>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</si>
  <si>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</si>
  <si>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</si>
  <si>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</si>
  <si>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</si>
  <si>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</si>
  <si>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</si>
  <si>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</si>
  <si>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</si>
  <si>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</si>
  <si>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</si>
  <si>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</si>
  <si>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</si>
  <si>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</si>
  <si>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</si>
  <si>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</si>
  <si>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</si>
  <si>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</si>
  <si>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</si>
  <si>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</si>
  <si>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</si>
  <si>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</si>
  <si>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</si>
  <si>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</si>
  <si>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</si>
  <si>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</si>
  <si>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</si>
  <si>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</si>
  <si>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</si>
  <si>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</si>
  <si>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</si>
  <si>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</si>
  <si>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</si>
  <si>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</si>
  <si>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</si>
  <si>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</si>
  <si>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du bord</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</si>
  <si>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</si>
  <si>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</si>
  <si>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</si>
  <si>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</si>
  <si>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</si>
  <si>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</si>
  <si>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</si>
  <si>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</si>
  <si>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</si>
  <si>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</si>
  <si>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</si>
  <si>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</si>
  <si>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</si>
  <si>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</si>
  <si>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</si>
  <si>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</si>
  <si>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</si>
  <si>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</si>
  <si>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</si>
  <si>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</si>
  <si>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</si>
  <si>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</si>
  <si>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</si>
  <si>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</si>
  <si>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</si>
  <si>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</si>
  <si>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</si>
  <si>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</si>
  <si>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</si>
  <si>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</si>
  <si>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</si>
  <si>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</si>
  <si>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</si>
  <si>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</si>
  <si>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</si>
  <si>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</si>
  <si>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</si>
  <si>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</si>
  <si>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</si>
  <si>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</si>
  <si>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</si>
  <si>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</si>
  <si>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</si>
  <si>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</si>
  <si>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</si>
  <si>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</si>
  <si>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</si>
  <si>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</si>
  <si>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</si>
  <si>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</si>
  <si>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</si>
  <si>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</si>
  <si>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</si>
  <si>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</si>
  <si>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</si>
  <si>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</si>
  <si>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</si>
  <si>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</si>
  <si>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</si>
  <si>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</si>
  <si>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</si>
  <si>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</si>
  <si>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</si>
  <si>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</si>
  <si>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</si>
  <si>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</si>
  <si>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</si>
  <si>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</si>
  <si>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</si>
  <si>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</si>
  <si>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</si>
  <si>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</si>
  <si>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</si>
  <si>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</si>
  <si>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</si>
  <si>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</si>
  <si>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</si>
  <si>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</si>
  <si>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</si>
  <si>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</si>
  <si>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</si>
  <si>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</si>
  <si>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</si>
  <si>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</si>
  <si>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</si>
  <si>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</si>
  <si>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</si>
  <si>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</si>
  <si>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</si>
  <si>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</si>
  <si>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</si>
  <si>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</si>
  <si>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</si>
  <si>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</si>
  <si>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</si>
  <si>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</si>
  <si>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</si>
  <si>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</si>
  <si>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</si>
  <si>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</si>
  <si>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</si>
  <si>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</si>
  <si>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</si>
  <si>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</si>
  <si>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</si>
  <si>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</si>
  <si>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</si>
  <si>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</si>
  <si>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</si>
  <si>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</si>
  <si>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</si>
  <si>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</si>
  <si>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</si>
  <si>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</si>
  <si>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</si>
  <si>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</si>
  <si>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</si>
  <si>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</si>
  <si>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</si>
  <si>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</si>
  <si>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</si>
  <si>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</si>
  <si>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</si>
  <si>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</si>
  <si>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</si>
  <si>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</si>
  <si>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</si>
  <si>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</si>
  <si>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</si>
  <si>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</si>
  <si>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</si>
  <si>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</si>
  <si>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</si>
  <si>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</si>
  <si>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</si>
  <si>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</si>
  <si>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</si>
  <si>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</si>
  <si>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</si>
  <si>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</si>
  <si>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</si>
  <si>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</si>
  <si>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</si>
  <si>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</si>
  <si>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</si>
  <si>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</si>
  <si>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</si>
  <si>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</si>
  <si>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</si>
  <si>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</si>
  <si>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</si>
  <si>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</si>
  <si>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</si>
  <si>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</si>
  <si>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</si>
  <si>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</si>
  <si>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</si>
  <si>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</si>
  <si>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</si>
  <si>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</si>
  <si>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</si>
  <si>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</si>
  <si>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</si>
  <si>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</si>
  <si>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</si>
  <si>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</si>
  <si>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</si>
  <si>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</si>
  <si>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</si>
  <si>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</si>
  <si>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</si>
  <si>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</si>
  <si>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</si>
  <si>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</si>
  <si>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</si>
  <si>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</si>
  <si>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</si>
  <si>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</si>
  <si>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</si>
  <si>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</si>
  <si>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</si>
  <si>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</si>
  <si>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</si>
  <si>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</si>
  <si>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</si>
  <si>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</si>
  <si>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</si>
  <si>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</si>
  <si>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</si>
  <si>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</si>
  <si>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</si>
  <si>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</si>
  <si>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</si>
  <si>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</si>
  <si>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</si>
  <si>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</si>
  <si>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</si>
  <si>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</si>
  <si>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</si>
  <si>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</si>
  <si>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</si>
  <si>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</si>
  <si>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</si>
  <si>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</si>
  <si>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</si>
  <si>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</si>
  <si>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</si>
  <si>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</si>
  <si>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</si>
  <si>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</si>
  <si>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</si>
  <si>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</si>
  <si>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</si>
  <si>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</si>
  <si>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</si>
  <si>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</si>
  <si>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</si>
  <si>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</si>
  <si>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</si>
  <si>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</si>
  <si>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</si>
  <si>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</si>
  <si>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</si>
  <si>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</si>
  <si>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</si>
  <si>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</si>
  <si>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</si>
  <si>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</si>
  <si>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</si>
  <si>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</si>
  <si>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</si>
  <si>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</si>
  <si>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</si>
  <si>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</si>
  <si>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</si>
  <si>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</si>
  <si>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</si>
  <si>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</si>
  <si>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</si>
  <si>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</si>
  <si>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</si>
  <si>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</si>
  <si>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</si>
  <si>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</si>
  <si>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</si>
  <si>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</si>
  <si>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</si>
  <si>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</si>
  <si>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</si>
  <si>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</si>
  <si>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</si>
  <si>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</si>
  <si>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</si>
  <si>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</si>
  <si>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</si>
  <si>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</si>
  <si>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</si>
  <si>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</si>
  <si>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</si>
  <si>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</si>
  <si>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</si>
  <si>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</si>
  <si>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</si>
  <si>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</si>
  <si>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</si>
  <si>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</si>
  <si>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</si>
  <si>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</si>
  <si>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</si>
  <si>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</si>
  <si>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</si>
  <si>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</si>
  <si>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</si>
  <si>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</si>
  <si>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</si>
  <si>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</si>
  <si>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</si>
  <si>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</si>
  <si>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</si>
  <si>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</si>
  <si>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</si>
  <si>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</si>
  <si>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</si>
  <si>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</si>
  <si>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</si>
  <si>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</si>
  <si>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</si>
  <si>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</si>
  <si>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</si>
  <si>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</si>
  <si>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</si>
  <si>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</si>
  <si>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</si>
  <si>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</si>
  <si>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</si>
  <si>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</si>
  <si>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</si>
  <si>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</si>
  <si>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</si>
  <si>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</si>
  <si>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</si>
  <si>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</si>
  <si>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</si>
  <si>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</si>
  <si>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</si>
  <si>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</si>
  <si>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</si>
  <si>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</si>
  <si>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</si>
  <si>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</si>
  <si>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</si>
  <si>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</si>
  <si>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</si>
  <si>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</si>
  <si>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</si>
  <si>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strong spodný 350863</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</si>
  <si>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</si>
  <si>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</si>
  <si>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</si>
  <si>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</si>
  <si>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</si>
  <si>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</si>
  <si>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</si>
  <si>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</si>
  <si>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</si>
  <si>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</si>
  <si>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</si>
  <si>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</si>
  <si>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</si>
  <si>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</si>
  <si>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</si>
  <si>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</si>
  <si>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</si>
  <si>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</si>
  <si>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</si>
  <si>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</si>
  <si>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</si>
  <si>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</si>
  <si>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</si>
  <si>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</si>
  <si>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</si>
  <si>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</si>
  <si>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</si>
  <si>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</si>
  <si>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</si>
  <si>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</si>
  <si>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</si>
  <si>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</si>
  <si>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</si>
  <si>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</si>
  <si>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</si>
  <si>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</si>
  <si>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</si>
  <si>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</si>
  <si>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</si>
  <si>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</si>
  <si>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</si>
  <si>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</si>
  <si>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</si>
  <si>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</si>
  <si>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</si>
  <si>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</si>
  <si>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</si>
  <si>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</si>
  <si>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</si>
  <si>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</si>
  <si>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</si>
  <si>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</si>
  <si>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</si>
  <si>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</si>
  <si>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</si>
  <si>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</si>
  <si>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</si>
  <si>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</si>
  <si>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</si>
  <si>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</si>
  <si>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</si>
  <si>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</si>
  <si>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</si>
  <si>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</si>
  <si>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</si>
  <si>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</si>
  <si>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</si>
  <si>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</si>
  <si>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</si>
  <si>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</si>
  <si>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</si>
  <si>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</si>
  <si>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</si>
  <si>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</si>
  <si>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</si>
  <si>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</si>
  <si>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</si>
  <si>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</si>
  <si>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</si>
  <si>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</si>
  <si>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</si>
  <si>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</si>
  <si>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</si>
  <si>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</si>
  <si>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</si>
  <si>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</si>
  <si>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</si>
  <si>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</si>
  <si>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</si>
  <si>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</si>
  <si>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</si>
  <si>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</si>
  <si>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</si>
  <si>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</si>
  <si>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</si>
  <si>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</si>
  <si>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</si>
  <si>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</si>
  <si>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</si>
  <si>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</si>
  <si>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</si>
  <si>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</si>
  <si>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</si>
  <si>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</si>
  <si>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</si>
  <si>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</si>
  <si>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</si>
  <si>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</si>
  <si>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</si>
  <si>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</si>
  <si>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</si>
  <si>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</si>
  <si>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</si>
  <si>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</si>
  <si>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</si>
  <si>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</si>
  <si>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</si>
  <si>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</si>
  <si>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</si>
  <si>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</si>
  <si>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</si>
  <si>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</si>
  <si>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</si>
  <si>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</si>
  <si>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</si>
  <si>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</si>
  <si>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</si>
  <si>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</si>
  <si>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</si>
  <si>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</si>
  <si>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</si>
  <si>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</si>
  <si>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</si>
  <si>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</si>
  <si>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</si>
  <si>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</si>
  <si>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350863</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</si>
  <si>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</si>
  <si>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</si>
  <si>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</si>
  <si>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</si>
  <si>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</si>
  <si>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</si>
  <si>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</si>
  <si>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</si>
  <si>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</si>
  <si>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</si>
  <si>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</si>
  <si>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</si>
  <si>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</si>
  <si>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</si>
  <si>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</si>
  <si>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</si>
  <si>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</si>
  <si>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</si>
  <si>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</si>
  <si>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</si>
  <si>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1001 - 1499 mm</t>
  </si>
  <si>
    <t>1500 - 2000 mm</t>
  </si>
  <si>
    <t>2001 - 2500 mm</t>
  </si>
  <si>
    <t xml:space="preserve"> 2501 - 2850 mm</t>
  </si>
  <si>
    <t>109 zł</t>
  </si>
  <si>
    <t>rozměry</t>
  </si>
  <si>
    <t>celkem rámečků</t>
  </si>
  <si>
    <t>cena za dopravu</t>
  </si>
  <si>
    <t>balík A</t>
  </si>
  <si>
    <t>balík B</t>
  </si>
  <si>
    <t>paleta A</t>
  </si>
  <si>
    <t>paleta B</t>
  </si>
  <si>
    <t>paleta C</t>
  </si>
  <si>
    <t>celkem</t>
  </si>
  <si>
    <t>max počet v balíku</t>
  </si>
  <si>
    <t>možnosti, do čeho lze zabalit</t>
  </si>
  <si>
    <t>skutečnost MAX</t>
  </si>
  <si>
    <t>skutečnost MIN</t>
  </si>
  <si>
    <t>nejmenší možné balení</t>
  </si>
  <si>
    <t>počet ks</t>
  </si>
  <si>
    <t>šířka/výška</t>
  </si>
  <si>
    <t>RAM1</t>
  </si>
  <si>
    <t>RAM2</t>
  </si>
  <si>
    <t>RAM3</t>
  </si>
  <si>
    <t>RAM4</t>
  </si>
  <si>
    <t>RAM5</t>
  </si>
  <si>
    <t>RAM6</t>
  </si>
  <si>
    <t xml:space="preserve">celkem rámečků indiv. </t>
  </si>
  <si>
    <t>počet balíků indiv.</t>
  </si>
  <si>
    <t>celkem rámečků spolu</t>
  </si>
  <si>
    <t>počet balíků/palet</t>
  </si>
  <si>
    <t>počt balíků v kombinaci</t>
  </si>
  <si>
    <t>počt balíků bez kombinace</t>
  </si>
  <si>
    <t>zbytek rámečků</t>
  </si>
  <si>
    <t>volné místo</t>
  </si>
  <si>
    <t>celkem rámečků spolu B</t>
  </si>
  <si>
    <t>nejnižší cena</t>
  </si>
  <si>
    <t>ks</t>
  </si>
  <si>
    <t>Aby uzyskać informacje o kosztach wysyłki dla zamówień powyżej 20 ramek, skontaktuj się z obsługą klienta:</t>
  </si>
  <si>
    <t>tubus A</t>
  </si>
  <si>
    <t>tubus B</t>
  </si>
  <si>
    <t>tubus C</t>
  </si>
  <si>
    <t>tubus D</t>
  </si>
  <si>
    <t>do 800 x 800 mm</t>
  </si>
  <si>
    <t>49,50 zł</t>
  </si>
  <si>
    <t>balík 800x800</t>
  </si>
  <si>
    <t>balík 1499x600</t>
  </si>
  <si>
    <t>do 910 x 1999 mm</t>
  </si>
  <si>
    <t>max 12 sztuki ramek</t>
  </si>
  <si>
    <t>max 8 sztuki ramek</t>
  </si>
  <si>
    <t>max 6 sztuki ramek</t>
  </si>
  <si>
    <t>MAX</t>
  </si>
  <si>
    <t>tubus E</t>
  </si>
  <si>
    <t>celkový počet</t>
  </si>
  <si>
    <t>1. optimalizace</t>
  </si>
  <si>
    <t>2. optimalizace</t>
  </si>
  <si>
    <t>3. optimalizace</t>
  </si>
  <si>
    <t>4. optimalizace</t>
  </si>
  <si>
    <t>Start počet bal</t>
  </si>
  <si>
    <t>počet balení</t>
  </si>
  <si>
    <t>cena celkem</t>
  </si>
  <si>
    <t>Przy dostawie na adres w jednym zamówieniu nie można łączyć ramki ze szkłem i bez szkła.</t>
  </si>
  <si>
    <t>sklo = 1 / bez skla = 2</t>
  </si>
  <si>
    <t>doprava se sklem</t>
  </si>
  <si>
    <t>doprava bez skla</t>
  </si>
  <si>
    <t>ve formuláři jsou rámečky se sklem i bez - chyba</t>
  </si>
  <si>
    <t>dostawa niemożliwa</t>
  </si>
  <si>
    <t>Wysyłka powyżej 20 ramek -&gt; skontaktuj się z obsługą klienta: tel: 327908582, email: zamowienia@demos-trade.com</t>
  </si>
  <si>
    <t>zbyt duże wymiary</t>
  </si>
  <si>
    <t>zbyt duże wymiary, których nie można wysłać kurierem</t>
  </si>
  <si>
    <t>wycena indiwidualna</t>
  </si>
  <si>
    <t>Ceny jsou platné od 27.1.2026/Verze 7.5</t>
  </si>
  <si>
    <t>Ceny sú platné od  27.1.2026/Verzia 7.5</t>
  </si>
  <si>
    <t>Ceny obowiązują od 27.1.2026/Wersja 7.5</t>
  </si>
  <si>
    <t>Az árak érvényesek  27.1.2026 -től/7.5 - es változat</t>
  </si>
  <si>
    <t>Prices are valid from  27.1.2026/Version 7.5</t>
  </si>
  <si>
    <t>Les prix sont valables à partir du  27.1.2026/Version 7.5</t>
  </si>
  <si>
    <t>Max</t>
  </si>
  <si>
    <t>Min</t>
  </si>
  <si>
    <t>počet</t>
  </si>
  <si>
    <t>Možné balení</t>
  </si>
  <si>
    <t>nejmenší balík</t>
  </si>
  <si>
    <t>do 910 x 2750 mm</t>
  </si>
  <si>
    <t xml:space="preserve"> do 910 x 2300 mm</t>
  </si>
  <si>
    <t>balík 0</t>
  </si>
  <si>
    <t>počet balíků</t>
  </si>
  <si>
    <t>volné místo?</t>
  </si>
  <si>
    <t>počet rámečků pro optimalizaci</t>
  </si>
  <si>
    <t>součet rámečků</t>
  </si>
  <si>
    <t>Optimalizace palet</t>
  </si>
  <si>
    <t>1. scénář - jen balíky</t>
  </si>
  <si>
    <t>Final optimalizace palet</t>
  </si>
  <si>
    <t>Optimalizace palet a balíků</t>
  </si>
  <si>
    <t>Final optimalizace balíků</t>
  </si>
  <si>
    <t>Final optimalizace palet a balíků</t>
  </si>
  <si>
    <t>Final cena smont</t>
  </si>
  <si>
    <t>1001-1499 mm</t>
  </si>
  <si>
    <t>1500-2000 mm</t>
  </si>
  <si>
    <t>2001-2500 mm</t>
  </si>
  <si>
    <t xml:space="preserve"> 2501-2850 mm</t>
  </si>
  <si>
    <t>optimalizace</t>
  </si>
  <si>
    <t>Při převzetí zásilky je kupující povinen zboží zkontrolovat a případné zjevné přepravní poškození ihned zapsat s kurýrem do protokolu, jinak může být taková reklamace zamítnuta.</t>
  </si>
  <si>
    <t>Pri prevzatí zásielky je kupujúci povinný tovar skontrolovať a prípadné zjavné prepravné poškodenie ihned zapísať s kuriérom do protokolu, inak môže byť takáto reklamácia zamietnutá.</t>
  </si>
  <si>
    <t>A küldemény átvételekor a vevő köteles a terméket ellenőrizni, és az esetleges nyilvánvaló szállítási sérüléseket azonnal jegyzőkönyvbe foglalni a futárral, ellenkező esetben az ilyen reklamáció elutasítható.</t>
  </si>
  <si>
    <t>Przy odbiorze przesyłki kupujący powinien sprawdzić towar i w przypadku stwierdzenia widocznych uszkodzeń transportowych niezwłocznie zgłosić je kurierowi, spisując protokół. W przeciwnym razie reklamacja może zostać odrzucona.</t>
  </si>
  <si>
    <t>When taking over the delivery, the buyer is obliged to check the goods and record any obvious transport damage in the protocol together with the courier; otherwise, such a claim may be rejected.</t>
  </si>
  <si>
    <t>À réception de la marchandise, l'acheteur est tenu de vérifier les marchandises et de consigner immédiatement tout dommage apparent dû au transport dans le procès-verbal établi avec le transporteur, faute de quoi toute réclamation pourra être rejetée.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</si>
</sst>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Kč&quot;_-;\-* #,##0.00\ &quot;Kč&quot;_-;_-* &quot;-&quot;??\ &quot;Kč&quot;_-;_-@_-"/>
    <numFmt numFmtId="43" formatCode="_-* #,##0.00_-;\-* #,##0.00_-;_-* &quot;-&quot;??_-;_-@_-"/>
    <numFmt numFmtId="164" formatCode="#####&quot; mm&quot;"/>
    <numFmt numFmtId="165" formatCode="&quot;&lt;— &quot;#####&quot;&quot;"/>
    <numFmt numFmtId="166" formatCode="#,###,###.00000"/>
    <numFmt numFmtId="167" formatCode="##,###,###,###.00000"/>
    <numFmt numFmtId="168" formatCode="_-* #,##0.00\ [$zł-415]_-;\-* #,##0.00\ [$zł-415]_-;_-* &quot;-&quot;??\ [$zł-415]_-;_-@_-"/>
    <numFmt numFmtId="169" formatCode="0.0000"/>
  </numFmts>
  <fonts count="105">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2"/>
      <color rgb="FF004984"/>
      <name val="Arial"/>
      <family val="2"/>
      <charset val="238"/>
    </font>
    <font>
      <b/>
      <sz val="9"/>
      <color theme="0"/>
      <name val="Arial"/>
      <family val="2"/>
      <charset val="238"/>
    </font>
    <font>
      <sz val="14"/>
      <color theme="0"/>
      <name val="Calibri"/>
      <family val="2"/>
      <charset val="238"/>
      <scheme val="minor"/>
    </font>
    <font>
      <sz val="9"/>
      <color theme="0"/>
      <name val="Arial"/>
      <family val="2"/>
      <charset val="238"/>
    </font>
    <font>
      <sz val="9"/>
      <color theme="1" tint="0.499984740745262"/>
      <name val="Arial"/>
      <family val="2"/>
      <charset val="238"/>
    </font>
    <font>
      <sz val="11"/>
      <color theme="1" tint="0.499984740745262"/>
      <name val="Calibri"/>
      <family val="2"/>
      <charset val="238"/>
      <scheme val="minor"/>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b/>
      <sz val="20"/>
      <name val="Calibri"/>
      <family val="2"/>
      <charset val="238"/>
      <scheme val="minor"/>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
      <b/>
      <sz val="14"/>
      <name val="Calibri"/>
      <family val="2"/>
      <charset val="238"/>
      <scheme val="minor"/>
    </font>
    <font>
      <b/>
      <sz val="11"/>
      <name val="Calibri"/>
      <family val="2"/>
      <charset val="238"/>
      <scheme val="minor"/>
    </font>
    <font>
      <b/>
      <sz val="12"/>
      <name val="Calibri"/>
      <family val="2"/>
      <charset val="238"/>
      <scheme val="minor"/>
    </font>
    <font>
      <u/>
      <sz val="11"/>
      <color theme="1"/>
      <name val="Calibri"/>
      <family val="2"/>
      <charset val="238"/>
      <scheme val="minor"/>
    </font>
    <font>
      <sz val="11"/>
      <color theme="0" tint="-0.249977111117893"/>
      <name val="Calibri"/>
      <family val="2"/>
      <charset val="238"/>
      <scheme val="minor"/>
    </font>
    <font>
      <b/>
      <sz val="26"/>
      <color theme="1"/>
      <name val="Calibri"/>
      <family val="2"/>
      <charset val="238"/>
      <scheme val="minor"/>
    </font>
    <font>
      <sz val="11"/>
      <color rgb="FFFFFF00"/>
      <name val="Calibri"/>
      <family val="2"/>
      <charset val="238"/>
      <scheme val="minor"/>
    </font>
    <font>
      <b/>
      <sz val="14"/>
      <color theme="0" tint="-0.14999847407452621"/>
      <name val="Calibri"/>
      <family val="2"/>
      <charset val="238"/>
      <scheme val="minor"/>
    </font>
    <font>
      <b/>
      <u/>
      <sz val="16"/>
      <name val="Calibri"/>
      <family val="2"/>
      <charset val="238"/>
      <scheme val="minor"/>
    </font>
    <font>
      <sz val="18"/>
      <color rgb="FF000000"/>
      <name val="Calibri"/>
      <family val="2"/>
      <charset val="238"/>
    </font>
    <font>
      <b/>
      <sz val="11"/>
      <color rgb="FF000000"/>
      <name val="Czcionka tekstu podstawowego"/>
    </font>
    <font>
      <sz val="11"/>
      <color rgb="FF000000"/>
      <name val="Czcionka tekstu podstawowego"/>
    </font>
    <font>
      <b/>
      <sz val="12"/>
      <color rgb="FF000000"/>
      <name val="Calibri"/>
      <family val="2"/>
      <charset val="238"/>
    </font>
  </fonts>
  <fills count="37">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
      <patternFill patternType="gray0625"/>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s>
  <borders count="9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right/>
      <top/>
      <bottom style="thick">
        <color rgb="FF00498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right/>
      <top style="dotted">
        <color rgb="FF004984"/>
      </top>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double">
        <color indexed="64"/>
      </bottom>
      <diagonal/>
    </border>
    <border>
      <left/>
      <right style="medium">
        <color indexed="64"/>
      </right>
      <top style="thin">
        <color indexed="64"/>
      </top>
      <bottom style="thin">
        <color indexed="64"/>
      </bottom>
      <diagonal/>
    </border>
  </borders>
  <cellStyleXfs count="22">
    <xf numFmtId="0" fontId="0"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4" fontId="5" fillId="0" borderId="0" applyFont="0" applyFill="0" applyBorder="0" applyAlignment="0" applyProtection="0"/>
    <xf numFmtId="0" fontId="10" fillId="0" borderId="0"/>
    <xf numFmtId="0" fontId="10" fillId="0" borderId="0"/>
    <xf numFmtId="0" fontId="10"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5" fillId="0" borderId="0" applyFont="0" applyFill="0" applyBorder="0" applyAlignment="0" applyProtection="0"/>
    <xf numFmtId="0" fontId="81" fillId="0" borderId="0"/>
    <xf numFmtId="44" fontId="5" fillId="0" borderId="0" applyFont="0" applyFill="0" applyBorder="0" applyAlignment="0" applyProtection="0"/>
  </cellStyleXfs>
  <cellXfs count="906">
    <xf numFmtId="0" fontId="0" fillId="0" borderId="0" xfId="0"/>
    <xf numFmtId="0" fontId="0" fillId="0" borderId="0" xfId="0" applyProtection="1">
      <protection hidden="1"/>
    </xf>
    <xf numFmtId="0" fontId="0" fillId="0" borderId="0" xfId="0" applyAlignment="1">
      <alignment horizontal="left"/>
    </xf>
    <xf numFmtId="0" fontId="6" fillId="0" borderId="0" xfId="0" applyFont="1" applyProtection="1">
      <protection hidden="1"/>
    </xf>
    <xf numFmtId="0" fontId="0" fillId="0" borderId="12" xfId="0" applyBorder="1" applyProtection="1">
      <protection hidden="1"/>
    </xf>
    <xf numFmtId="0" fontId="0" fillId="0" borderId="14" xfId="0" applyBorder="1" applyProtection="1">
      <protection hidden="1"/>
    </xf>
    <xf numFmtId="0" fontId="0" fillId="0" borderId="21" xfId="0" applyBorder="1" applyProtection="1">
      <protection hidden="1"/>
    </xf>
    <xf numFmtId="0" fontId="0" fillId="0" borderId="22" xfId="0" applyBorder="1" applyProtection="1">
      <protection hidden="1"/>
    </xf>
    <xf numFmtId="0" fontId="0" fillId="0" borderId="23" xfId="0" applyBorder="1" applyProtection="1">
      <protection hidden="1"/>
    </xf>
    <xf numFmtId="0" fontId="0" fillId="0" borderId="13" xfId="0" applyBorder="1" applyProtection="1">
      <protection hidden="1"/>
    </xf>
    <xf numFmtId="0" fontId="0" fillId="0" borderId="24" xfId="0" applyBorder="1" applyProtection="1">
      <protection hidden="1"/>
    </xf>
    <xf numFmtId="0" fontId="0" fillId="0" borderId="0" xfId="0" applyProtection="1">
      <protection locked="0" hidden="1"/>
    </xf>
    <xf numFmtId="49" fontId="0" fillId="0" borderId="0" xfId="0" applyNumberFormat="1"/>
    <xf numFmtId="0" fontId="0" fillId="0" borderId="3" xfId="0" applyBorder="1" applyProtection="1">
      <protection hidden="1"/>
    </xf>
    <xf numFmtId="0" fontId="12" fillId="0" borderId="0" xfId="0" applyFont="1"/>
    <xf numFmtId="0" fontId="0" fillId="0" borderId="0" xfId="0" applyAlignment="1" applyProtection="1">
      <alignment vertical="center"/>
      <protection hidden="1"/>
    </xf>
    <xf numFmtId="0" fontId="26" fillId="0" borderId="0" xfId="0" applyFont="1" applyProtection="1">
      <protection hidden="1"/>
    </xf>
    <xf numFmtId="0" fontId="6" fillId="0" borderId="0" xfId="0" applyFont="1"/>
    <xf numFmtId="0" fontId="12" fillId="0" borderId="0" xfId="0" applyFont="1" applyProtection="1">
      <protection hidden="1"/>
    </xf>
    <xf numFmtId="0" fontId="21" fillId="0" borderId="0" xfId="0" applyFont="1" applyProtection="1">
      <protection hidden="1"/>
    </xf>
    <xf numFmtId="49" fontId="12" fillId="0" borderId="0" xfId="0" applyNumberFormat="1" applyFont="1" applyProtection="1">
      <protection hidden="1"/>
    </xf>
    <xf numFmtId="49" fontId="26" fillId="0" borderId="0" xfId="0" applyNumberFormat="1" applyFont="1" applyProtection="1">
      <protection hidden="1"/>
    </xf>
    <xf numFmtId="0" fontId="6" fillId="0" borderId="0" xfId="0" applyFont="1" applyAlignment="1">
      <alignment horizontal="left"/>
    </xf>
    <xf numFmtId="0" fontId="17" fillId="0" borderId="0" xfId="0" applyFont="1" applyAlignment="1">
      <alignment horizontal="left"/>
    </xf>
    <xf numFmtId="0" fontId="0" fillId="0" borderId="0" xfId="0" applyAlignment="1" applyProtection="1">
      <alignment horizontal="left"/>
      <protection hidden="1"/>
    </xf>
    <xf numFmtId="0" fontId="21" fillId="0" borderId="0" xfId="0" applyFont="1" applyAlignment="1" applyProtection="1">
      <alignment horizontal="left"/>
      <protection hidden="1"/>
    </xf>
    <xf numFmtId="0" fontId="0" fillId="9" borderId="0" xfId="0" applyFill="1"/>
    <xf numFmtId="0" fontId="0" fillId="11" borderId="0" xfId="0" applyFill="1" applyProtection="1">
      <protection hidden="1"/>
    </xf>
    <xf numFmtId="49" fontId="12" fillId="11" borderId="0" xfId="0" applyNumberFormat="1" applyFont="1" applyFill="1" applyProtection="1">
      <protection hidden="1"/>
    </xf>
    <xf numFmtId="0" fontId="12" fillId="11" borderId="0" xfId="0" applyFont="1" applyFill="1" applyProtection="1">
      <protection hidden="1"/>
    </xf>
    <xf numFmtId="0" fontId="0" fillId="12" borderId="0" xfId="0" applyFill="1" applyProtection="1">
      <protection hidden="1"/>
    </xf>
    <xf numFmtId="0" fontId="0" fillId="0" borderId="1" xfId="0" applyBorder="1" applyProtection="1">
      <protection hidden="1"/>
    </xf>
    <xf numFmtId="0" fontId="0" fillId="0" borderId="15" xfId="0" applyBorder="1" applyProtection="1">
      <protection hidden="1"/>
    </xf>
    <xf numFmtId="0" fontId="0" fillId="0" borderId="2" xfId="0" applyBorder="1" applyProtection="1">
      <protection hidden="1"/>
    </xf>
    <xf numFmtId="0" fontId="0" fillId="13" borderId="1" xfId="0" applyFill="1" applyBorder="1" applyProtection="1">
      <protection hidden="1"/>
    </xf>
    <xf numFmtId="0" fontId="0" fillId="13" borderId="15" xfId="0" applyFill="1" applyBorder="1" applyProtection="1">
      <protection hidden="1"/>
    </xf>
    <xf numFmtId="49" fontId="12" fillId="13" borderId="15" xfId="0" applyNumberFormat="1" applyFont="1" applyFill="1" applyBorder="1" applyProtection="1">
      <protection hidden="1"/>
    </xf>
    <xf numFmtId="0" fontId="0" fillId="13" borderId="2" xfId="0" applyFill="1" applyBorder="1" applyProtection="1">
      <protection hidden="1"/>
    </xf>
    <xf numFmtId="0" fontId="0" fillId="13" borderId="21" xfId="0" applyFill="1" applyBorder="1" applyProtection="1">
      <protection hidden="1"/>
    </xf>
    <xf numFmtId="0" fontId="0" fillId="13" borderId="24" xfId="0" applyFill="1" applyBorder="1" applyProtection="1">
      <protection hidden="1"/>
    </xf>
    <xf numFmtId="0" fontId="0" fillId="13" borderId="23" xfId="0" applyFill="1" applyBorder="1" applyProtection="1">
      <protection hidden="1"/>
    </xf>
    <xf numFmtId="0" fontId="0" fillId="13" borderId="13" xfId="0" applyFill="1" applyBorder="1" applyProtection="1">
      <protection hidden="1"/>
    </xf>
    <xf numFmtId="49" fontId="12" fillId="13" borderId="13" xfId="0" applyNumberFormat="1" applyFont="1" applyFill="1" applyBorder="1" applyProtection="1">
      <protection hidden="1"/>
    </xf>
    <xf numFmtId="0" fontId="0" fillId="13" borderId="22" xfId="0" applyFill="1" applyBorder="1" applyProtection="1">
      <protection hidden="1"/>
    </xf>
    <xf numFmtId="0" fontId="28" fillId="0" borderId="0" xfId="0" applyFont="1" applyProtection="1">
      <protection hidden="1"/>
    </xf>
    <xf numFmtId="0" fontId="28" fillId="5" borderId="51" xfId="0" applyFont="1" applyFill="1" applyBorder="1" applyProtection="1">
      <protection hidden="1"/>
    </xf>
    <xf numFmtId="0" fontId="29" fillId="0" borderId="0" xfId="0" applyFont="1" applyProtection="1">
      <protection hidden="1"/>
    </xf>
    <xf numFmtId="0" fontId="30" fillId="0" borderId="0" xfId="9" applyFont="1" applyAlignment="1" applyProtection="1">
      <alignment horizontal="center" vertical="center"/>
      <protection hidden="1"/>
    </xf>
    <xf numFmtId="0" fontId="0" fillId="2" borderId="0" xfId="0" applyFill="1"/>
    <xf numFmtId="0" fontId="0" fillId="14" borderId="0" xfId="0" applyFill="1"/>
    <xf numFmtId="0" fontId="0" fillId="15" borderId="0" xfId="0" applyFill="1"/>
    <xf numFmtId="0" fontId="6" fillId="2" borderId="0" xfId="0" applyFont="1" applyFill="1"/>
    <xf numFmtId="0" fontId="0" fillId="15" borderId="0" xfId="0" applyFill="1" applyAlignment="1">
      <alignment horizontal="center"/>
    </xf>
    <xf numFmtId="0" fontId="0" fillId="16" borderId="0" xfId="0" applyFill="1"/>
    <xf numFmtId="0" fontId="0" fillId="12" borderId="29" xfId="0" applyFill="1" applyBorder="1" applyProtection="1">
      <protection hidden="1"/>
    </xf>
    <xf numFmtId="0" fontId="0" fillId="8" borderId="0" xfId="0" applyFill="1" applyAlignment="1">
      <alignment horizontal="right"/>
    </xf>
    <xf numFmtId="0" fontId="0" fillId="8" borderId="0" xfId="0" applyFill="1" applyAlignment="1">
      <alignment horizontal="left"/>
    </xf>
    <xf numFmtId="0" fontId="0" fillId="17" borderId="0" xfId="0" applyFill="1"/>
    <xf numFmtId="0" fontId="0" fillId="13" borderId="28" xfId="0" applyFill="1" applyBorder="1" applyProtection="1">
      <protection hidden="1"/>
    </xf>
    <xf numFmtId="0" fontId="0" fillId="18" borderId="22" xfId="0" applyFill="1" applyBorder="1" applyProtection="1">
      <protection hidden="1"/>
    </xf>
    <xf numFmtId="0" fontId="0" fillId="18" borderId="15" xfId="0" applyFill="1" applyBorder="1" applyProtection="1">
      <protection hidden="1"/>
    </xf>
    <xf numFmtId="49" fontId="12" fillId="18" borderId="15" xfId="0" applyNumberFormat="1" applyFont="1" applyFill="1" applyBorder="1" applyProtection="1">
      <protection hidden="1"/>
    </xf>
    <xf numFmtId="0" fontId="0" fillId="18" borderId="21" xfId="0" applyFill="1" applyBorder="1" applyProtection="1">
      <protection hidden="1"/>
    </xf>
    <xf numFmtId="0" fontId="0" fillId="18" borderId="13" xfId="0" applyFill="1" applyBorder="1" applyProtection="1">
      <protection hidden="1"/>
    </xf>
    <xf numFmtId="49" fontId="12" fillId="18" borderId="13" xfId="0" applyNumberFormat="1" applyFont="1" applyFill="1" applyBorder="1" applyProtection="1">
      <protection hidden="1"/>
    </xf>
    <xf numFmtId="0" fontId="13" fillId="0" borderId="0" xfId="0" applyFont="1" applyProtection="1">
      <protection hidden="1"/>
    </xf>
    <xf numFmtId="0" fontId="13" fillId="18" borderId="0" xfId="0" applyFont="1" applyFill="1" applyProtection="1">
      <protection hidden="1"/>
    </xf>
    <xf numFmtId="0" fontId="0" fillId="18" borderId="0" xfId="0" applyFill="1" applyProtection="1">
      <protection hidden="1"/>
    </xf>
    <xf numFmtId="0" fontId="0" fillId="19" borderId="28" xfId="0" applyFill="1" applyBorder="1" applyProtection="1">
      <protection hidden="1"/>
    </xf>
    <xf numFmtId="0" fontId="0" fillId="19" borderId="22" xfId="0" applyFill="1" applyBorder="1" applyProtection="1">
      <protection hidden="1"/>
    </xf>
    <xf numFmtId="0" fontId="0" fillId="19" borderId="21" xfId="0" applyFill="1" applyBorder="1" applyProtection="1">
      <protection hidden="1"/>
    </xf>
    <xf numFmtId="0" fontId="0" fillId="19" borderId="15" xfId="0" applyFill="1" applyBorder="1" applyProtection="1">
      <protection hidden="1"/>
    </xf>
    <xf numFmtId="0" fontId="0" fillId="19" borderId="13" xfId="0" applyFill="1" applyBorder="1" applyProtection="1">
      <protection hidden="1"/>
    </xf>
    <xf numFmtId="0" fontId="6" fillId="0" borderId="0" xfId="0" applyFont="1" applyAlignment="1">
      <alignment vertical="center"/>
    </xf>
    <xf numFmtId="0" fontId="6"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20" borderId="29" xfId="0" applyFill="1" applyBorder="1" applyProtection="1">
      <protection hidden="1"/>
    </xf>
    <xf numFmtId="0" fontId="0" fillId="5" borderId="52" xfId="0" applyFill="1" applyBorder="1" applyProtection="1">
      <protection hidden="1"/>
    </xf>
    <xf numFmtId="0" fontId="0" fillId="5" borderId="29" xfId="0" applyFill="1" applyBorder="1" applyProtection="1">
      <protection hidden="1"/>
    </xf>
    <xf numFmtId="0" fontId="0" fillId="3" borderId="0" xfId="0" applyFill="1" applyAlignment="1">
      <alignment vertical="center"/>
    </xf>
    <xf numFmtId="0" fontId="11" fillId="18" borderId="0" xfId="7" applyFill="1" applyProtection="1">
      <protection hidden="1"/>
    </xf>
    <xf numFmtId="0" fontId="11" fillId="11" borderId="0" xfId="7" applyFill="1" applyProtection="1">
      <protection hidden="1"/>
    </xf>
    <xf numFmtId="0" fontId="31" fillId="0" borderId="0" xfId="8" applyFont="1" applyAlignment="1" applyProtection="1">
      <alignment vertical="top" wrapText="1"/>
      <protection hidden="1"/>
    </xf>
    <xf numFmtId="0" fontId="32" fillId="18" borderId="0" xfId="7" applyFont="1" applyFill="1" applyAlignment="1" applyProtection="1">
      <alignment vertical="center"/>
      <protection hidden="1"/>
    </xf>
    <xf numFmtId="0" fontId="33" fillId="0" borderId="0" xfId="0" applyFont="1" applyProtection="1">
      <protection hidden="1"/>
    </xf>
    <xf numFmtId="0" fontId="0" fillId="10" borderId="0" xfId="0" applyFill="1"/>
    <xf numFmtId="0" fontId="0" fillId="0" borderId="29" xfId="0" applyBorder="1" applyProtection="1">
      <protection hidden="1"/>
    </xf>
    <xf numFmtId="49" fontId="12" fillId="0" borderId="29" xfId="0" applyNumberFormat="1" applyFont="1" applyBorder="1" applyProtection="1">
      <protection hidden="1"/>
    </xf>
    <xf numFmtId="0" fontId="12" fillId="0" borderId="29" xfId="0" applyFont="1" applyBorder="1" applyProtection="1">
      <protection hidden="1"/>
    </xf>
    <xf numFmtId="0" fontId="12" fillId="13" borderId="19" xfId="0" applyFont="1" applyFill="1" applyBorder="1" applyProtection="1">
      <protection hidden="1"/>
    </xf>
    <xf numFmtId="0" fontId="34" fillId="18" borderId="0" xfId="7" applyFont="1" applyFill="1" applyProtection="1">
      <protection hidden="1"/>
    </xf>
    <xf numFmtId="49" fontId="13" fillId="0" borderId="0" xfId="0" applyNumberFormat="1" applyFont="1" applyProtection="1">
      <protection hidden="1"/>
    </xf>
    <xf numFmtId="0" fontId="33" fillId="18" borderId="0" xfId="0" applyFont="1" applyFill="1" applyProtection="1">
      <protection hidden="1"/>
    </xf>
    <xf numFmtId="49" fontId="0" fillId="0" borderId="0" xfId="0" applyNumberFormat="1" applyProtection="1">
      <protection hidden="1"/>
    </xf>
    <xf numFmtId="0" fontId="0" fillId="18" borderId="0" xfId="0" applyFill="1" applyAlignment="1" applyProtection="1">
      <alignment wrapText="1"/>
      <protection hidden="1"/>
    </xf>
    <xf numFmtId="0" fontId="0" fillId="18" borderId="30" xfId="0" applyFill="1" applyBorder="1" applyProtection="1">
      <protection hidden="1"/>
    </xf>
    <xf numFmtId="0" fontId="0" fillId="0" borderId="8" xfId="0" applyBorder="1" applyProtection="1">
      <protection hidden="1"/>
    </xf>
    <xf numFmtId="0" fontId="0" fillId="18" borderId="8" xfId="0" applyFill="1" applyBorder="1" applyProtection="1">
      <protection hidden="1"/>
    </xf>
    <xf numFmtId="0" fontId="0" fillId="18" borderId="10" xfId="0" applyFill="1" applyBorder="1" applyProtection="1">
      <protection hidden="1"/>
    </xf>
    <xf numFmtId="0" fontId="9" fillId="0" borderId="0" xfId="0" applyFont="1" applyProtection="1">
      <protection hidden="1"/>
    </xf>
    <xf numFmtId="0" fontId="35" fillId="18" borderId="0" xfId="7" applyFont="1" applyFill="1" applyProtection="1">
      <protection hidden="1"/>
    </xf>
    <xf numFmtId="0" fontId="35" fillId="11" borderId="0" xfId="7" applyFont="1" applyFill="1" applyProtection="1">
      <protection hidden="1"/>
    </xf>
    <xf numFmtId="0" fontId="36" fillId="0" borderId="0" xfId="0" applyFont="1" applyProtection="1">
      <protection hidden="1"/>
    </xf>
    <xf numFmtId="0" fontId="6" fillId="0" borderId="0" xfId="0" applyFont="1" applyAlignment="1" applyProtection="1">
      <alignment horizontal="left"/>
      <protection hidden="1"/>
    </xf>
    <xf numFmtId="0" fontId="9" fillId="18" borderId="0" xfId="0" applyFont="1" applyFill="1" applyAlignment="1" applyProtection="1">
      <alignment horizontal="center" vertical="center"/>
      <protection hidden="1"/>
    </xf>
    <xf numFmtId="164" fontId="0" fillId="18" borderId="0" xfId="0" applyNumberFormat="1" applyFill="1" applyAlignment="1" applyProtection="1">
      <alignment horizontal="center" vertical="center"/>
      <protection hidden="1"/>
    </xf>
    <xf numFmtId="49" fontId="12" fillId="18" borderId="0" xfId="0" applyNumberFormat="1" applyFont="1" applyFill="1" applyProtection="1">
      <protection hidden="1"/>
    </xf>
    <xf numFmtId="0" fontId="12" fillId="18" borderId="0" xfId="0" applyFont="1" applyFill="1" applyProtection="1">
      <protection hidden="1"/>
    </xf>
    <xf numFmtId="0" fontId="0" fillId="0" borderId="0" xfId="0" applyAlignment="1" applyProtection="1">
      <alignment horizontal="left" vertical="center" indent="1"/>
      <protection hidden="1"/>
    </xf>
    <xf numFmtId="0" fontId="27" fillId="6" borderId="0" xfId="0" applyFont="1" applyFill="1" applyAlignment="1" applyProtection="1">
      <alignment vertical="center" wrapText="1"/>
      <protection hidden="1"/>
    </xf>
    <xf numFmtId="0" fontId="28" fillId="18" borderId="0" xfId="0" applyFont="1" applyFill="1" applyProtection="1">
      <protection hidden="1"/>
    </xf>
    <xf numFmtId="0" fontId="27" fillId="18" borderId="0" xfId="0" applyFont="1" applyFill="1" applyAlignment="1" applyProtection="1">
      <alignment vertical="center" wrapText="1"/>
      <protection hidden="1"/>
    </xf>
    <xf numFmtId="0" fontId="0" fillId="5" borderId="31" xfId="0" applyFill="1" applyBorder="1" applyProtection="1">
      <protection hidden="1"/>
    </xf>
    <xf numFmtId="0" fontId="37" fillId="0" borderId="0" xfId="1" applyFont="1" applyFill="1" applyBorder="1" applyAlignment="1" applyProtection="1">
      <alignment vertical="center"/>
      <protection hidden="1"/>
    </xf>
    <xf numFmtId="0" fontId="14" fillId="0" borderId="0" xfId="0" applyFont="1" applyAlignment="1" applyProtection="1">
      <alignment vertical="top"/>
      <protection hidden="1"/>
    </xf>
    <xf numFmtId="0" fontId="11" fillId="18" borderId="0" xfId="7" applyFill="1" applyAlignment="1" applyProtection="1">
      <alignment vertical="center"/>
      <protection hidden="1"/>
    </xf>
    <xf numFmtId="49"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0" fillId="13" borderId="1" xfId="0" applyFill="1" applyBorder="1" applyAlignment="1" applyProtection="1">
      <alignment vertical="center"/>
      <protection hidden="1"/>
    </xf>
    <xf numFmtId="0" fontId="0" fillId="13" borderId="15" xfId="0" applyFill="1" applyBorder="1" applyAlignment="1" applyProtection="1">
      <alignment vertical="center"/>
      <protection hidden="1"/>
    </xf>
    <xf numFmtId="0" fontId="0" fillId="19" borderId="15" xfId="0" applyFill="1" applyBorder="1" applyAlignment="1" applyProtection="1">
      <alignment vertical="center"/>
      <protection hidden="1"/>
    </xf>
    <xf numFmtId="49" fontId="12" fillId="13" borderId="15" xfId="0" applyNumberFormat="1" applyFont="1" applyFill="1" applyBorder="1" applyAlignment="1" applyProtection="1">
      <alignment vertical="center"/>
      <protection hidden="1"/>
    </xf>
    <xf numFmtId="0" fontId="12" fillId="13" borderId="19" xfId="0" applyFont="1" applyFill="1" applyBorder="1" applyAlignment="1" applyProtection="1">
      <alignment vertical="center"/>
      <protection hidden="1"/>
    </xf>
    <xf numFmtId="0" fontId="0" fillId="13" borderId="2" xfId="0" applyFill="1" applyBorder="1" applyAlignment="1" applyProtection="1">
      <alignment vertical="center"/>
      <protection hidden="1"/>
    </xf>
    <xf numFmtId="0" fontId="0" fillId="13" borderId="22"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5" xfId="0" applyBorder="1" applyAlignment="1" applyProtection="1">
      <alignment vertical="center"/>
      <protection hidden="1"/>
    </xf>
    <xf numFmtId="0" fontId="0" fillId="18" borderId="15" xfId="0" applyFill="1" applyBorder="1" applyAlignment="1" applyProtection="1">
      <alignment vertical="center"/>
      <protection hidden="1"/>
    </xf>
    <xf numFmtId="49" fontId="12" fillId="18" borderId="15"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3" borderId="21" xfId="0" applyFill="1" applyBorder="1" applyAlignment="1" applyProtection="1">
      <alignment vertical="center"/>
      <protection hidden="1"/>
    </xf>
    <xf numFmtId="0" fontId="13" fillId="18" borderId="0" xfId="0" applyFont="1" applyFill="1" applyAlignment="1" applyProtection="1">
      <alignment vertical="center"/>
      <protection hidden="1"/>
    </xf>
    <xf numFmtId="0" fontId="0" fillId="13" borderId="28" xfId="0" applyFill="1" applyBorder="1" applyAlignment="1" applyProtection="1">
      <alignment vertical="center"/>
      <protection hidden="1"/>
    </xf>
    <xf numFmtId="0" fontId="0" fillId="19" borderId="28" xfId="0" applyFill="1" applyBorder="1" applyAlignment="1" applyProtection="1">
      <alignment vertical="center"/>
      <protection hidden="1"/>
    </xf>
    <xf numFmtId="0" fontId="0" fillId="19" borderId="22" xfId="0" applyFill="1" applyBorder="1" applyAlignment="1" applyProtection="1">
      <alignment vertical="center"/>
      <protection hidden="1"/>
    </xf>
    <xf numFmtId="0" fontId="0" fillId="0" borderId="22" xfId="0" applyBorder="1" applyAlignment="1" applyProtection="1">
      <alignment vertical="center"/>
      <protection hidden="1"/>
    </xf>
    <xf numFmtId="0" fontId="0" fillId="0" borderId="21" xfId="0" applyBorder="1" applyAlignment="1" applyProtection="1">
      <alignment vertical="center"/>
      <protection hidden="1"/>
    </xf>
    <xf numFmtId="0" fontId="0" fillId="18" borderId="21" xfId="0" applyFill="1" applyBorder="1" applyAlignment="1" applyProtection="1">
      <alignment vertical="center"/>
      <protection hidden="1"/>
    </xf>
    <xf numFmtId="0" fontId="0" fillId="18" borderId="22" xfId="0" applyFill="1" applyBorder="1" applyAlignment="1" applyProtection="1">
      <alignment vertical="center"/>
      <protection hidden="1"/>
    </xf>
    <xf numFmtId="0" fontId="0" fillId="19" borderId="21" xfId="0" applyFill="1" applyBorder="1" applyAlignment="1" applyProtection="1">
      <alignment vertical="center"/>
      <protection hidden="1"/>
    </xf>
    <xf numFmtId="0" fontId="0" fillId="0" borderId="23" xfId="0" applyBorder="1" applyAlignment="1" applyProtection="1">
      <alignment vertical="center"/>
      <protection hidden="1"/>
    </xf>
    <xf numFmtId="0" fontId="0" fillId="0" borderId="13" xfId="0" applyBorder="1" applyAlignment="1" applyProtection="1">
      <alignment vertical="center"/>
      <protection hidden="1"/>
    </xf>
    <xf numFmtId="0" fontId="0" fillId="18" borderId="13" xfId="0" applyFill="1" applyBorder="1" applyAlignment="1" applyProtection="1">
      <alignment vertical="center"/>
      <protection hidden="1"/>
    </xf>
    <xf numFmtId="49" fontId="12" fillId="18" borderId="13" xfId="0" applyNumberFormat="1" applyFont="1" applyFill="1" applyBorder="1" applyAlignment="1" applyProtection="1">
      <alignment vertical="center"/>
      <protection hidden="1"/>
    </xf>
    <xf numFmtId="0" fontId="0" fillId="0" borderId="24" xfId="0" applyBorder="1" applyAlignment="1" applyProtection="1">
      <alignment vertical="center"/>
      <protection hidden="1"/>
    </xf>
    <xf numFmtId="0" fontId="0" fillId="13" borderId="23" xfId="0" applyFill="1" applyBorder="1" applyAlignment="1" applyProtection="1">
      <alignment vertical="center"/>
      <protection hidden="1"/>
    </xf>
    <xf numFmtId="0" fontId="0" fillId="13" borderId="13" xfId="0" applyFill="1" applyBorder="1" applyAlignment="1" applyProtection="1">
      <alignment vertical="center"/>
      <protection hidden="1"/>
    </xf>
    <xf numFmtId="0" fontId="0" fillId="19" borderId="13" xfId="0" applyFill="1" applyBorder="1" applyAlignment="1" applyProtection="1">
      <alignment vertical="center"/>
      <protection hidden="1"/>
    </xf>
    <xf numFmtId="49" fontId="12" fillId="13" borderId="13" xfId="0" applyNumberFormat="1" applyFont="1" applyFill="1" applyBorder="1" applyAlignment="1" applyProtection="1">
      <alignment vertical="center"/>
      <protection hidden="1"/>
    </xf>
    <xf numFmtId="0" fontId="0" fillId="13" borderId="24" xfId="0" applyFill="1" applyBorder="1" applyAlignment="1" applyProtection="1">
      <alignment vertical="center"/>
      <protection hidden="1"/>
    </xf>
    <xf numFmtId="0" fontId="26" fillId="0" borderId="0" xfId="0" applyFont="1" applyAlignment="1" applyProtection="1">
      <alignment vertical="center"/>
      <protection hidden="1"/>
    </xf>
    <xf numFmtId="0" fontId="38" fillId="0" borderId="0" xfId="0" applyFont="1" applyProtection="1">
      <protection hidden="1"/>
    </xf>
    <xf numFmtId="0" fontId="38" fillId="18" borderId="0" xfId="0" applyFont="1" applyFill="1" applyProtection="1">
      <protection hidden="1"/>
    </xf>
    <xf numFmtId="0" fontId="39" fillId="0" borderId="0" xfId="0" applyFont="1" applyAlignment="1" applyProtection="1">
      <alignment vertical="center"/>
      <protection hidden="1"/>
    </xf>
    <xf numFmtId="0" fontId="39" fillId="5" borderId="58" xfId="0" applyFont="1" applyFill="1" applyBorder="1" applyAlignment="1" applyProtection="1">
      <alignment vertical="center"/>
      <protection hidden="1"/>
    </xf>
    <xf numFmtId="0" fontId="39" fillId="0" borderId="58" xfId="0" applyFont="1" applyBorder="1" applyAlignment="1" applyProtection="1">
      <alignment vertical="center"/>
      <protection hidden="1"/>
    </xf>
    <xf numFmtId="0" fontId="0" fillId="18" borderId="0" xfId="0" applyFill="1" applyAlignment="1" applyProtection="1">
      <alignment vertical="center"/>
      <protection hidden="1"/>
    </xf>
    <xf numFmtId="0" fontId="11" fillId="0" borderId="0" xfId="7" applyAlignment="1" applyProtection="1">
      <alignment vertical="center"/>
      <protection hidden="1"/>
    </xf>
    <xf numFmtId="0" fontId="40" fillId="0" borderId="0" xfId="8" applyFont="1" applyAlignment="1" applyProtection="1">
      <alignment vertical="center" wrapText="1"/>
      <protection hidden="1"/>
    </xf>
    <xf numFmtId="0" fontId="33" fillId="0" borderId="0" xfId="0" applyFont="1" applyAlignment="1" applyProtection="1">
      <alignment vertical="center"/>
      <protection hidden="1"/>
    </xf>
    <xf numFmtId="0" fontId="41" fillId="18" borderId="0" xfId="7" applyFont="1" applyFill="1" applyAlignment="1" applyProtection="1">
      <alignment vertical="center"/>
      <protection hidden="1"/>
    </xf>
    <xf numFmtId="0" fontId="41" fillId="0" borderId="0" xfId="7" applyFont="1" applyAlignment="1" applyProtection="1">
      <alignment vertical="center"/>
      <protection hidden="1"/>
    </xf>
    <xf numFmtId="0" fontId="42" fillId="18" borderId="0" xfId="7" applyFont="1" applyFill="1" applyAlignment="1" applyProtection="1">
      <alignment vertical="center"/>
      <protection hidden="1"/>
    </xf>
    <xf numFmtId="0" fontId="39" fillId="0" borderId="59" xfId="0" applyFont="1" applyBorder="1" applyAlignment="1" applyProtection="1">
      <alignment vertical="center"/>
      <protection hidden="1"/>
    </xf>
    <xf numFmtId="0" fontId="39" fillId="0" borderId="11" xfId="0" applyFont="1" applyBorder="1" applyAlignment="1" applyProtection="1">
      <alignment vertical="center"/>
      <protection hidden="1"/>
    </xf>
    <xf numFmtId="0" fontId="0" fillId="0" borderId="60" xfId="0" applyBorder="1" applyProtection="1">
      <protection hidden="1"/>
    </xf>
    <xf numFmtId="49" fontId="12" fillId="0" borderId="60" xfId="0" applyNumberFormat="1" applyFont="1" applyBorder="1" applyProtection="1">
      <protection hidden="1"/>
    </xf>
    <xf numFmtId="0" fontId="12" fillId="0" borderId="60" xfId="0" applyFont="1" applyBorder="1" applyProtection="1">
      <protection hidden="1"/>
    </xf>
    <xf numFmtId="0" fontId="0" fillId="0" borderId="0" xfId="0" applyAlignment="1" applyProtection="1">
      <alignment vertical="center"/>
      <protection locked="0" hidden="1"/>
    </xf>
    <xf numFmtId="0" fontId="13" fillId="0" borderId="15" xfId="0" applyFont="1" applyBorder="1" applyAlignment="1" applyProtection="1">
      <alignment vertical="center"/>
      <protection hidden="1"/>
    </xf>
    <xf numFmtId="0" fontId="25" fillId="0" borderId="0" xfId="0" applyFont="1" applyAlignment="1" applyProtection="1">
      <alignment vertical="center"/>
      <protection hidden="1"/>
    </xf>
    <xf numFmtId="0" fontId="39" fillId="0" borderId="58"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61" xfId="0" applyBorder="1" applyProtection="1">
      <protection hidden="1"/>
    </xf>
    <xf numFmtId="0" fontId="0" fillId="0" borderId="62" xfId="0" applyBorder="1" applyAlignment="1" applyProtection="1">
      <alignment horizontal="left" indent="1"/>
      <protection hidden="1"/>
    </xf>
    <xf numFmtId="0" fontId="39" fillId="0" borderId="63" xfId="0" applyFont="1" applyBorder="1" applyAlignment="1" applyProtection="1">
      <alignment horizontal="left" vertical="center" indent="1"/>
      <protection hidden="1"/>
    </xf>
    <xf numFmtId="0" fontId="0" fillId="0" borderId="62" xfId="0" applyBorder="1" applyProtection="1">
      <protection hidden="1"/>
    </xf>
    <xf numFmtId="0" fontId="43" fillId="0" borderId="0" xfId="0" applyFont="1" applyAlignment="1" applyProtection="1">
      <alignment vertical="center"/>
      <protection hidden="1"/>
    </xf>
    <xf numFmtId="9" fontId="28" fillId="0" borderId="0" xfId="0" applyNumberFormat="1" applyFont="1" applyAlignment="1" applyProtection="1">
      <alignment vertical="center"/>
      <protection hidden="1"/>
    </xf>
    <xf numFmtId="0" fontId="28" fillId="0" borderId="0" xfId="0" applyFont="1" applyAlignment="1" applyProtection="1">
      <alignment vertical="center"/>
      <protection hidden="1"/>
    </xf>
    <xf numFmtId="49" fontId="12" fillId="12" borderId="0" xfId="0" applyNumberFormat="1" applyFont="1" applyFill="1" applyProtection="1">
      <protection hidden="1"/>
    </xf>
    <xf numFmtId="0" fontId="12" fillId="12" borderId="0" xfId="0" applyFont="1" applyFill="1" applyProtection="1">
      <protection hidden="1"/>
    </xf>
    <xf numFmtId="0" fontId="0" fillId="21" borderId="31" xfId="0" applyFill="1" applyBorder="1" applyProtection="1">
      <protection hidden="1"/>
    </xf>
    <xf numFmtId="0" fontId="0" fillId="0" borderId="31" xfId="0" applyBorder="1" applyProtection="1">
      <protection hidden="1"/>
    </xf>
    <xf numFmtId="0" fontId="11" fillId="18" borderId="0" xfId="7" applyFill="1" applyProtection="1">
      <protection locked="0" hidden="1"/>
    </xf>
    <xf numFmtId="0" fontId="11" fillId="0" borderId="0" xfId="7" applyProtection="1">
      <protection locked="0" hidden="1"/>
    </xf>
    <xf numFmtId="0" fontId="11" fillId="11" borderId="0" xfId="7" applyFill="1" applyProtection="1">
      <protection locked="0" hidden="1"/>
    </xf>
    <xf numFmtId="0" fontId="8" fillId="0" borderId="0" xfId="2" applyFill="1" applyAlignment="1" applyProtection="1">
      <protection locked="0" hidden="1"/>
    </xf>
    <xf numFmtId="0" fontId="44" fillId="0" borderId="0" xfId="0" applyFont="1" applyProtection="1">
      <protection locked="0" hidden="1"/>
    </xf>
    <xf numFmtId="0" fontId="45" fillId="0" borderId="0" xfId="7" applyFont="1" applyProtection="1">
      <protection locked="0" hidden="1"/>
    </xf>
    <xf numFmtId="0" fontId="0" fillId="0" borderId="0" xfId="0" applyProtection="1">
      <protection locked="0"/>
    </xf>
    <xf numFmtId="0" fontId="14" fillId="0" borderId="0" xfId="0" applyFont="1" applyProtection="1">
      <protection locked="0"/>
    </xf>
    <xf numFmtId="0" fontId="46" fillId="0" borderId="0" xfId="0" applyFont="1" applyAlignment="1" applyProtection="1">
      <alignment horizontal="center" vertical="center" textRotation="90" wrapText="1"/>
      <protection locked="0"/>
    </xf>
    <xf numFmtId="0" fontId="47" fillId="0" borderId="0" xfId="0" applyFont="1" applyAlignment="1" applyProtection="1">
      <alignment vertical="center"/>
      <protection hidden="1"/>
    </xf>
    <xf numFmtId="0" fontId="48" fillId="0" borderId="0" xfId="0" applyFont="1" applyAlignment="1" applyProtection="1">
      <alignment vertical="center"/>
      <protection hidden="1"/>
    </xf>
    <xf numFmtId="0" fontId="21" fillId="0" borderId="0" xfId="0" applyFont="1" applyAlignment="1" applyProtection="1">
      <alignment vertical="center"/>
      <protection locked="0" hidden="1"/>
    </xf>
    <xf numFmtId="0" fontId="41" fillId="18" borderId="0" xfId="7" applyFont="1" applyFill="1" applyAlignment="1" applyProtection="1">
      <alignment vertical="center"/>
      <protection locked="0" hidden="1"/>
    </xf>
    <xf numFmtId="0" fontId="12" fillId="0" borderId="0" xfId="0" applyFont="1" applyAlignment="1" applyProtection="1">
      <alignment vertical="center"/>
      <protection locked="0" hidden="1"/>
    </xf>
    <xf numFmtId="49" fontId="12" fillId="0" borderId="0" xfId="0" applyNumberFormat="1" applyFont="1" applyAlignment="1" applyProtection="1">
      <alignment vertical="center"/>
      <protection locked="0" hidden="1"/>
    </xf>
    <xf numFmtId="0" fontId="41" fillId="0" borderId="0" xfId="7" applyFont="1" applyAlignment="1" applyProtection="1">
      <alignment vertical="center"/>
      <protection locked="0" hidden="1"/>
    </xf>
    <xf numFmtId="0" fontId="21" fillId="18" borderId="0" xfId="0" applyFont="1" applyFill="1" applyAlignment="1" applyProtection="1">
      <alignment vertical="center"/>
      <protection locked="0" hidden="1"/>
    </xf>
    <xf numFmtId="0" fontId="0" fillId="18" borderId="0" xfId="0" applyFill="1" applyAlignment="1" applyProtection="1">
      <alignment vertical="center"/>
      <protection locked="0" hidden="1"/>
    </xf>
    <xf numFmtId="0" fontId="49" fillId="18" borderId="0" xfId="0" applyFont="1" applyFill="1" applyAlignment="1" applyProtection="1">
      <alignment vertical="center" wrapText="1"/>
      <protection locked="0" hidden="1"/>
    </xf>
    <xf numFmtId="0" fontId="12" fillId="18" borderId="0" xfId="0" applyFont="1" applyFill="1" applyAlignment="1" applyProtection="1">
      <alignment vertical="center"/>
      <protection locked="0" hidden="1"/>
    </xf>
    <xf numFmtId="0" fontId="26" fillId="18" borderId="0" xfId="0" applyFont="1" applyFill="1" applyAlignment="1" applyProtection="1">
      <alignment vertical="center"/>
      <protection locked="0" hidden="1"/>
    </xf>
    <xf numFmtId="0" fontId="28" fillId="0" borderId="0" xfId="0" applyFont="1" applyAlignment="1" applyProtection="1">
      <alignment vertical="center"/>
      <protection locked="0" hidden="1"/>
    </xf>
    <xf numFmtId="0" fontId="26" fillId="0" borderId="0" xfId="0" applyFont="1" applyAlignment="1" applyProtection="1">
      <alignment vertical="center"/>
      <protection locked="0" hidden="1"/>
    </xf>
    <xf numFmtId="0" fontId="33" fillId="0" borderId="0" xfId="0" applyFont="1" applyAlignment="1" applyProtection="1">
      <alignment vertical="center"/>
      <protection locked="0" hidden="1"/>
    </xf>
    <xf numFmtId="0" fontId="40" fillId="0" borderId="0" xfId="8" applyFont="1" applyAlignment="1" applyProtection="1">
      <alignment vertical="center" wrapText="1"/>
      <protection locked="0" hidden="1"/>
    </xf>
    <xf numFmtId="0" fontId="34" fillId="0" borderId="0" xfId="7" applyFont="1" applyProtection="1">
      <protection locked="0" hidden="1"/>
    </xf>
    <xf numFmtId="0" fontId="39" fillId="0" borderId="64" xfId="0" applyFont="1" applyBorder="1" applyAlignment="1" applyProtection="1">
      <alignment vertical="center"/>
      <protection hidden="1"/>
    </xf>
    <xf numFmtId="0" fontId="23" fillId="0" borderId="0" xfId="0" applyFont="1" applyProtection="1">
      <protection locked="0"/>
    </xf>
    <xf numFmtId="0" fontId="24" fillId="0" borderId="0" xfId="0" applyFont="1" applyProtection="1">
      <protection locked="0"/>
    </xf>
    <xf numFmtId="0" fontId="17" fillId="0" borderId="0" xfId="0" applyFont="1" applyProtection="1">
      <protection locked="0"/>
    </xf>
    <xf numFmtId="0" fontId="16" fillId="0" borderId="0" xfId="0" applyFont="1" applyAlignment="1" applyProtection="1">
      <alignment vertical="center"/>
      <protection locked="0" hidden="1"/>
    </xf>
    <xf numFmtId="49" fontId="16" fillId="0" borderId="0" xfId="0" applyNumberFormat="1" applyFont="1" applyAlignment="1" applyProtection="1">
      <alignment vertical="center"/>
      <protection locked="0" hidden="1"/>
    </xf>
    <xf numFmtId="0" fontId="6" fillId="0" borderId="0" xfId="0" applyFont="1" applyAlignment="1">
      <alignment horizontal="right" vertical="center"/>
    </xf>
    <xf numFmtId="0" fontId="0" fillId="0" borderId="0" xfId="0" applyAlignment="1" applyProtection="1">
      <alignment horizontal="center" vertical="center"/>
      <protection hidden="1"/>
    </xf>
    <xf numFmtId="0" fontId="29" fillId="0" borderId="0" xfId="0" applyFont="1" applyAlignment="1" applyProtection="1">
      <alignment horizontal="center" vertical="center"/>
      <protection hidden="1"/>
    </xf>
    <xf numFmtId="49" fontId="12" fillId="0" borderId="0" xfId="0" applyNumberFormat="1" applyFont="1" applyAlignment="1" applyProtection="1">
      <alignment horizontal="center" vertical="center"/>
      <protection hidden="1"/>
    </xf>
    <xf numFmtId="0" fontId="12" fillId="0" borderId="0" xfId="0" applyFont="1" applyAlignment="1" applyProtection="1">
      <alignment horizontal="center" vertical="center"/>
      <protection hidden="1"/>
    </xf>
    <xf numFmtId="0" fontId="12" fillId="22" borderId="0" xfId="0" applyFont="1" applyFill="1" applyAlignment="1" applyProtection="1">
      <alignment vertical="center"/>
      <protection locked="0" hidden="1"/>
    </xf>
    <xf numFmtId="0" fontId="0" fillId="0" borderId="12" xfId="0" applyBorder="1" applyAlignment="1" applyProtection="1">
      <alignment horizontal="center" vertical="center"/>
      <protection locked="0" hidden="1"/>
    </xf>
    <xf numFmtId="0" fontId="0" fillId="0" borderId="14"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4" fillId="0" borderId="1" xfId="0" applyFont="1" applyBorder="1" applyProtection="1">
      <protection locked="0"/>
    </xf>
    <xf numFmtId="0" fontId="14" fillId="0" borderId="2" xfId="0" applyFont="1" applyBorder="1" applyProtection="1">
      <protection locked="0"/>
    </xf>
    <xf numFmtId="0" fontId="14" fillId="0" borderId="3" xfId="0" applyFont="1" applyBorder="1" applyProtection="1">
      <protection locked="0"/>
    </xf>
    <xf numFmtId="0" fontId="14" fillId="0" borderId="26"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4" fillId="0" borderId="25" xfId="13" applyFont="1" applyBorder="1" applyAlignment="1" applyProtection="1">
      <alignment vertical="center"/>
      <protection locked="0"/>
    </xf>
    <xf numFmtId="0" fontId="14" fillId="0" borderId="3" xfId="13" applyFont="1" applyBorder="1" applyAlignment="1" applyProtection="1">
      <alignment vertical="center"/>
      <protection locked="0"/>
    </xf>
    <xf numFmtId="0" fontId="14" fillId="0" borderId="3" xfId="13" applyFont="1" applyBorder="1" applyAlignment="1" applyProtection="1">
      <alignment horizontal="left" vertical="center"/>
      <protection locked="0"/>
    </xf>
    <xf numFmtId="0" fontId="14" fillId="0" borderId="3" xfId="13" applyFont="1" applyBorder="1" applyAlignment="1" applyProtection="1">
      <alignment horizontal="left"/>
      <protection locked="0"/>
    </xf>
    <xf numFmtId="1" fontId="14" fillId="0" borderId="3" xfId="0" applyNumberFormat="1" applyFont="1" applyBorder="1" applyProtection="1">
      <protection locked="0"/>
    </xf>
    <xf numFmtId="0" fontId="14" fillId="0" borderId="0" xfId="13" applyFont="1" applyAlignment="1" applyProtection="1">
      <alignment horizontal="left" vertical="center"/>
      <protection locked="0"/>
    </xf>
    <xf numFmtId="0" fontId="14" fillId="0" borderId="0" xfId="13" applyFont="1" applyProtection="1">
      <protection locked="0"/>
    </xf>
    <xf numFmtId="2" fontId="14" fillId="0" borderId="0" xfId="0" applyNumberFormat="1" applyFont="1" applyProtection="1">
      <protection locked="0"/>
    </xf>
    <xf numFmtId="1" fontId="14" fillId="0" borderId="0" xfId="0" applyNumberFormat="1" applyFont="1" applyProtection="1">
      <protection locked="0"/>
    </xf>
    <xf numFmtId="0" fontId="14" fillId="0" borderId="0" xfId="13" applyFont="1" applyAlignment="1" applyProtection="1">
      <alignment vertical="center"/>
      <protection locked="0"/>
    </xf>
    <xf numFmtId="0" fontId="14" fillId="0" borderId="7" xfId="13" applyFont="1" applyBorder="1" applyAlignment="1" applyProtection="1">
      <alignment vertical="center"/>
      <protection locked="0"/>
    </xf>
    <xf numFmtId="0" fontId="14" fillId="0" borderId="10" xfId="13" applyFont="1" applyBorder="1" applyAlignment="1" applyProtection="1">
      <alignment horizontal="left" vertical="center"/>
      <protection locked="0"/>
    </xf>
    <xf numFmtId="0" fontId="14" fillId="0" borderId="34" xfId="13" applyFont="1" applyBorder="1" applyProtection="1">
      <protection locked="0"/>
    </xf>
    <xf numFmtId="0" fontId="14" fillId="0" borderId="35" xfId="13" applyFont="1" applyBorder="1" applyProtection="1">
      <protection locked="0"/>
    </xf>
    <xf numFmtId="0" fontId="14" fillId="0" borderId="4" xfId="13" applyFont="1" applyBorder="1" applyAlignment="1" applyProtection="1">
      <alignment horizontal="left" vertical="center"/>
      <protection locked="0"/>
    </xf>
    <xf numFmtId="0" fontId="14" fillId="0" borderId="5" xfId="13" applyFont="1" applyBorder="1" applyAlignment="1" applyProtection="1">
      <alignment horizontal="left" vertical="center"/>
      <protection locked="0"/>
    </xf>
    <xf numFmtId="0" fontId="14" fillId="0" borderId="5" xfId="13" applyFont="1" applyBorder="1" applyAlignment="1" applyProtection="1">
      <alignment vertical="center"/>
      <protection locked="0"/>
    </xf>
    <xf numFmtId="0" fontId="14" fillId="0" borderId="17" xfId="13" applyFont="1" applyBorder="1" applyAlignment="1" applyProtection="1">
      <alignment horizontal="left" vertical="center"/>
      <protection locked="0"/>
    </xf>
    <xf numFmtId="0" fontId="14" fillId="0" borderId="28" xfId="0" applyFont="1" applyBorder="1" applyProtection="1">
      <protection locked="0"/>
    </xf>
    <xf numFmtId="2" fontId="14" fillId="0" borderId="28" xfId="0" applyNumberFormat="1" applyFont="1" applyBorder="1" applyProtection="1">
      <protection locked="0"/>
    </xf>
    <xf numFmtId="1" fontId="14" fillId="0" borderId="28" xfId="0" applyNumberFormat="1" applyFont="1" applyBorder="1" applyProtection="1">
      <protection locked="0"/>
    </xf>
    <xf numFmtId="0" fontId="14" fillId="0" borderId="26" xfId="13" applyFont="1" applyBorder="1" applyProtection="1">
      <protection locked="0"/>
    </xf>
    <xf numFmtId="0" fontId="14" fillId="0" borderId="0" xfId="13" applyFont="1" applyAlignment="1" applyProtection="1">
      <alignment horizontal="left"/>
      <protection locked="0"/>
    </xf>
    <xf numFmtId="0" fontId="14" fillId="0" borderId="0" xfId="9" applyFont="1" applyAlignment="1" applyProtection="1">
      <alignment horizontal="left"/>
      <protection locked="0"/>
    </xf>
    <xf numFmtId="0" fontId="50" fillId="0" borderId="0" xfId="13" applyFont="1"/>
    <xf numFmtId="49" fontId="0" fillId="0" borderId="0" xfId="0" applyNumberFormat="1" applyProtection="1">
      <protection locked="0"/>
    </xf>
    <xf numFmtId="0" fontId="51"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4" fillId="0" borderId="0" xfId="13" quotePrefix="1" applyFont="1" applyProtection="1">
      <protection locked="0"/>
    </xf>
    <xf numFmtId="0" fontId="52" fillId="0" borderId="0" xfId="0" applyFont="1"/>
    <xf numFmtId="0" fontId="53" fillId="11" borderId="0" xfId="7" applyFont="1" applyFill="1" applyAlignment="1" applyProtection="1">
      <alignment horizontal="center" vertical="center"/>
      <protection hidden="1"/>
    </xf>
    <xf numFmtId="0" fontId="54" fillId="0" borderId="0" xfId="0" applyFont="1" applyAlignment="1" applyProtection="1">
      <alignment horizontal="center" vertical="center" textRotation="90"/>
      <protection locked="0"/>
    </xf>
    <xf numFmtId="0" fontId="14" fillId="0" borderId="36" xfId="13" applyFont="1" applyBorder="1" applyAlignment="1" applyProtection="1">
      <alignment vertical="center"/>
      <protection locked="0"/>
    </xf>
    <xf numFmtId="0" fontId="0" fillId="0" borderId="3" xfId="0" applyBorder="1" applyProtection="1">
      <protection locked="0"/>
    </xf>
    <xf numFmtId="0" fontId="45" fillId="0" borderId="0" xfId="7" applyFont="1" applyProtection="1">
      <protection hidden="1"/>
    </xf>
    <xf numFmtId="0" fontId="52" fillId="0" borderId="0" xfId="0" applyFont="1" applyAlignment="1">
      <alignment wrapText="1"/>
    </xf>
    <xf numFmtId="0" fontId="55" fillId="0" borderId="0" xfId="0" applyFont="1" applyAlignment="1">
      <alignment horizontal="left" vertical="center"/>
    </xf>
    <xf numFmtId="0" fontId="5" fillId="0" borderId="0" xfId="13" applyFont="1" applyAlignment="1" applyProtection="1">
      <alignment vertical="center"/>
      <protection locked="0"/>
    </xf>
    <xf numFmtId="0" fontId="20" fillId="0" borderId="0" xfId="0" applyFont="1" applyAlignment="1" applyProtection="1">
      <alignment horizontal="center" vertical="center"/>
      <protection hidden="1"/>
    </xf>
    <xf numFmtId="0" fontId="0" fillId="0" borderId="36" xfId="0" applyBorder="1"/>
    <xf numFmtId="0" fontId="0" fillId="0" borderId="28" xfId="0" applyBorder="1"/>
    <xf numFmtId="0" fontId="0" fillId="0" borderId="37" xfId="0" applyBorder="1"/>
    <xf numFmtId="0" fontId="0" fillId="0" borderId="0" xfId="0" applyAlignment="1">
      <alignment vertical="center" wrapText="1"/>
    </xf>
    <xf numFmtId="0" fontId="0" fillId="0" borderId="0" xfId="0" applyAlignment="1">
      <alignment wrapText="1"/>
    </xf>
    <xf numFmtId="0" fontId="0" fillId="23" borderId="0" xfId="0" applyFill="1" applyAlignment="1" applyProtection="1">
      <alignment vertical="center"/>
      <protection hidden="1"/>
    </xf>
    <xf numFmtId="0" fontId="56" fillId="0" borderId="0" xfId="0" applyFont="1" applyAlignment="1">
      <alignment horizontal="left" vertical="center"/>
    </xf>
    <xf numFmtId="0" fontId="0" fillId="17" borderId="0" xfId="0" applyFill="1" applyAlignment="1" applyProtection="1">
      <alignment vertical="center"/>
      <protection hidden="1"/>
    </xf>
    <xf numFmtId="0" fontId="30" fillId="23" borderId="59" xfId="0" applyFont="1" applyFill="1" applyBorder="1" applyAlignment="1" applyProtection="1">
      <alignment vertical="top"/>
      <protection hidden="1"/>
    </xf>
    <xf numFmtId="0" fontId="30" fillId="23" borderId="58" xfId="0" applyFont="1" applyFill="1" applyBorder="1" applyAlignment="1" applyProtection="1">
      <alignment vertical="top"/>
      <protection hidden="1"/>
    </xf>
    <xf numFmtId="0" fontId="30" fillId="23" borderId="58" xfId="0" applyFont="1" applyFill="1" applyBorder="1" applyProtection="1">
      <protection hidden="1"/>
    </xf>
    <xf numFmtId="0" fontId="39" fillId="0" borderId="59" xfId="0" applyFont="1" applyBorder="1" applyAlignment="1" applyProtection="1">
      <alignment horizontal="right" vertical="center"/>
      <protection hidden="1"/>
    </xf>
    <xf numFmtId="0" fontId="39" fillId="0" borderId="58" xfId="0" applyFont="1" applyBorder="1" applyAlignment="1" applyProtection="1">
      <alignment horizontal="right" vertical="center"/>
      <protection hidden="1"/>
    </xf>
    <xf numFmtId="0" fontId="57" fillId="0" borderId="0" xfId="0" applyFont="1" applyAlignment="1" applyProtection="1">
      <alignment horizontal="center" vertical="center" textRotation="90"/>
      <protection locked="0"/>
    </xf>
    <xf numFmtId="0" fontId="58" fillId="0" borderId="0" xfId="0" applyFont="1" applyAlignment="1">
      <alignment horizontal="left" vertical="center"/>
    </xf>
    <xf numFmtId="0" fontId="39" fillId="5" borderId="65" xfId="0" applyFont="1" applyFill="1" applyBorder="1" applyAlignment="1" applyProtection="1">
      <alignment vertical="center"/>
      <protection hidden="1"/>
    </xf>
    <xf numFmtId="0" fontId="49" fillId="0" borderId="0" xfId="0" applyFont="1"/>
    <xf numFmtId="0" fontId="0" fillId="0" borderId="38" xfId="0" applyBorder="1" applyAlignment="1" applyProtection="1">
      <alignment vertical="center"/>
      <protection hidden="1"/>
    </xf>
    <xf numFmtId="0" fontId="55" fillId="0" borderId="0" xfId="0" applyFont="1" applyAlignment="1">
      <alignment horizontal="left" vertical="center" wrapText="1"/>
    </xf>
    <xf numFmtId="0" fontId="5" fillId="0" borderId="0" xfId="13" applyFont="1" applyAlignment="1" applyProtection="1">
      <alignment horizontal="left"/>
      <protection locked="0"/>
    </xf>
    <xf numFmtId="0" fontId="75" fillId="0" borderId="0" xfId="0" applyFont="1" applyAlignment="1">
      <alignment vertical="center"/>
    </xf>
    <xf numFmtId="0" fontId="49" fillId="0" borderId="0" xfId="0" applyFont="1" applyProtection="1">
      <protection hidden="1"/>
    </xf>
    <xf numFmtId="0" fontId="0" fillId="0" borderId="0" xfId="0" applyAlignment="1" applyProtection="1">
      <alignment vertical="top"/>
      <protection hidden="1"/>
    </xf>
    <xf numFmtId="0" fontId="13" fillId="0" borderId="53" xfId="0" applyFont="1" applyBorder="1" applyProtection="1">
      <protection hidden="1"/>
    </xf>
    <xf numFmtId="0" fontId="13" fillId="0" borderId="54" xfId="0" applyFont="1" applyBorder="1" applyProtection="1">
      <protection hidden="1"/>
    </xf>
    <xf numFmtId="0" fontId="13" fillId="5" borderId="29"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6" fillId="0" borderId="0" xfId="0" applyFont="1" applyAlignment="1" applyProtection="1">
      <alignment vertical="center"/>
      <protection hidden="1"/>
    </xf>
    <xf numFmtId="0" fontId="19" fillId="0" borderId="0" xfId="0" applyFont="1" applyProtection="1">
      <protection hidden="1"/>
    </xf>
    <xf numFmtId="0" fontId="46" fillId="0" borderId="0" xfId="0" applyFont="1" applyProtection="1">
      <protection hidden="1"/>
    </xf>
    <xf numFmtId="0" fontId="0" fillId="18" borderId="31" xfId="0" applyFill="1" applyBorder="1" applyProtection="1">
      <protection hidden="1"/>
    </xf>
    <xf numFmtId="0" fontId="0" fillId="27" borderId="0" xfId="0" applyFill="1"/>
    <xf numFmtId="0" fontId="0" fillId="28" borderId="0" xfId="0" applyFill="1"/>
    <xf numFmtId="0" fontId="0" fillId="3" borderId="0" xfId="0" applyFill="1"/>
    <xf numFmtId="0" fontId="6" fillId="21" borderId="31" xfId="0" applyFont="1" applyFill="1" applyBorder="1" applyProtection="1">
      <protection hidden="1"/>
    </xf>
    <xf numFmtId="0" fontId="0" fillId="0" borderId="0" xfId="0" quotePrefix="1"/>
    <xf numFmtId="0" fontId="75" fillId="0" borderId="0" xfId="0" quotePrefix="1" applyFont="1" applyAlignment="1">
      <alignment vertical="center"/>
    </xf>
    <xf numFmtId="0" fontId="78" fillId="0" borderId="0" xfId="0" applyFont="1" applyAlignment="1">
      <alignment horizontal="left" vertical="center"/>
    </xf>
    <xf numFmtId="0" fontId="50" fillId="0" borderId="3" xfId="13" applyFont="1" applyBorder="1" applyAlignment="1">
      <alignment vertical="center"/>
    </xf>
    <xf numFmtId="0" fontId="67" fillId="0" borderId="0" xfId="0" applyFont="1" applyAlignment="1" applyProtection="1">
      <alignment vertical="center" wrapText="1"/>
      <protection hidden="1"/>
    </xf>
    <xf numFmtId="0" fontId="14" fillId="0" borderId="0" xfId="0" applyFont="1" applyAlignment="1" applyProtection="1">
      <alignment horizontal="center"/>
      <protection locked="0"/>
    </xf>
    <xf numFmtId="0" fontId="18" fillId="0" borderId="0" xfId="0" applyFont="1" applyAlignment="1" applyProtection="1">
      <alignment horizontal="right"/>
      <protection hidden="1"/>
    </xf>
    <xf numFmtId="0" fontId="80" fillId="29" borderId="0" xfId="0" applyFont="1" applyFill="1"/>
    <xf numFmtId="0" fontId="12" fillId="8" borderId="0" xfId="0" applyFont="1" applyFill="1" applyAlignment="1" applyProtection="1">
      <alignment vertical="center"/>
      <protection locked="0" hidden="1"/>
    </xf>
    <xf numFmtId="0" fontId="13" fillId="12" borderId="29" xfId="0" applyFont="1" applyFill="1" applyBorder="1" applyProtection="1">
      <protection locked="0" hidden="1"/>
    </xf>
    <xf numFmtId="0" fontId="9" fillId="11" borderId="29" xfId="0" applyFont="1" applyFill="1" applyBorder="1" applyAlignment="1" applyProtection="1">
      <alignment vertical="center"/>
      <protection hidden="1"/>
    </xf>
    <xf numFmtId="0" fontId="38" fillId="0" borderId="0" xfId="0" applyFont="1" applyProtection="1">
      <protection locked="0" hidden="1"/>
    </xf>
    <xf numFmtId="0" fontId="18" fillId="18" borderId="0" xfId="0" applyFont="1" applyFill="1" applyAlignment="1" applyProtection="1">
      <alignment vertical="center"/>
      <protection hidden="1"/>
    </xf>
    <xf numFmtId="43" fontId="13" fillId="12" borderId="29" xfId="19" applyFont="1" applyFill="1" applyBorder="1" applyAlignment="1" applyProtection="1">
      <protection hidden="1"/>
    </xf>
    <xf numFmtId="0" fontId="0" fillId="11" borderId="61" xfId="0" applyFill="1" applyBorder="1" applyProtection="1">
      <protection hidden="1"/>
    </xf>
    <xf numFmtId="0" fontId="18" fillId="0" borderId="0" xfId="0" applyFont="1" applyProtection="1">
      <protection hidden="1"/>
    </xf>
    <xf numFmtId="0" fontId="13" fillId="12" borderId="50" xfId="0" applyFont="1" applyFill="1" applyBorder="1" applyProtection="1">
      <protection hidden="1"/>
    </xf>
    <xf numFmtId="0" fontId="13" fillId="12" borderId="29" xfId="0" applyFont="1" applyFill="1" applyBorder="1" applyProtection="1">
      <protection hidden="1"/>
    </xf>
    <xf numFmtId="1" fontId="14" fillId="0" borderId="3" xfId="0" applyNumberFormat="1" applyFont="1" applyBorder="1" applyAlignment="1" applyProtection="1">
      <alignment wrapText="1"/>
      <protection locked="0"/>
    </xf>
    <xf numFmtId="0" fontId="14" fillId="8" borderId="3" xfId="0" applyFont="1" applyFill="1" applyBorder="1" applyProtection="1">
      <protection locked="0"/>
    </xf>
    <xf numFmtId="0" fontId="80" fillId="30" borderId="0" xfId="0" applyFont="1" applyFill="1"/>
    <xf numFmtId="0" fontId="14" fillId="8" borderId="0" xfId="0" applyFont="1" applyFill="1" applyAlignment="1" applyProtection="1">
      <alignment horizontal="center"/>
      <protection locked="0"/>
    </xf>
    <xf numFmtId="0" fontId="14" fillId="0" borderId="15" xfId="13" applyFont="1" applyBorder="1" applyProtection="1">
      <protection locked="0"/>
    </xf>
    <xf numFmtId="0" fontId="14" fillId="0" borderId="7" xfId="13" applyFont="1" applyBorder="1" applyProtection="1">
      <protection locked="0"/>
    </xf>
    <xf numFmtId="0" fontId="14" fillId="0" borderId="80" xfId="13" applyFont="1" applyBorder="1" applyProtection="1">
      <protection locked="0"/>
    </xf>
    <xf numFmtId="0" fontId="0" fillId="31" borderId="0" xfId="0" applyFill="1"/>
    <xf numFmtId="0" fontId="17" fillId="0" borderId="0" xfId="0" applyFont="1" applyAlignment="1" applyProtection="1">
      <alignment vertical="center"/>
      <protection locked="0" hidden="1"/>
    </xf>
    <xf numFmtId="0" fontId="21" fillId="8" borderId="0" xfId="0" applyFont="1" applyFill="1" applyAlignment="1" applyProtection="1">
      <alignment vertical="center"/>
      <protection locked="0" hidden="1"/>
    </xf>
    <xf numFmtId="0" fontId="67" fillId="8" borderId="0" xfId="0" applyFont="1" applyFill="1" applyAlignment="1" applyProtection="1">
      <alignment vertical="center" wrapText="1"/>
      <protection hidden="1"/>
    </xf>
    <xf numFmtId="0" fontId="16" fillId="8" borderId="0" xfId="0" applyFont="1" applyFill="1" applyAlignment="1" applyProtection="1">
      <alignment vertical="center"/>
      <protection locked="0" hidden="1"/>
    </xf>
    <xf numFmtId="0" fontId="16" fillId="0" borderId="3" xfId="0" applyFont="1" applyBorder="1" applyAlignment="1" applyProtection="1">
      <alignment vertical="center"/>
      <protection locked="0" hidden="1"/>
    </xf>
    <xf numFmtId="0" fontId="16"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2" borderId="3" xfId="0" applyFill="1" applyBorder="1" applyAlignment="1" applyProtection="1">
      <alignment vertical="center"/>
      <protection locked="0" hidden="1"/>
    </xf>
    <xf numFmtId="0" fontId="83" fillId="0" borderId="0" xfId="0" applyFont="1" applyAlignment="1" applyProtection="1">
      <alignment vertical="center"/>
      <protection hidden="1"/>
    </xf>
    <xf numFmtId="0" fontId="14" fillId="0" borderId="0" xfId="0" applyFont="1" applyAlignment="1" applyProtection="1">
      <alignment wrapText="1"/>
      <protection hidden="1"/>
    </xf>
    <xf numFmtId="0" fontId="22" fillId="0" borderId="0" xfId="0" applyFont="1" applyProtection="1">
      <protection hidden="1"/>
    </xf>
    <xf numFmtId="0" fontId="13" fillId="0" borderId="0" xfId="0" applyFont="1" applyProtection="1">
      <protection locked="0" hidden="1"/>
    </xf>
    <xf numFmtId="0" fontId="0" fillId="5" borderId="0" xfId="0" applyFill="1" applyProtection="1">
      <protection hidden="1"/>
    </xf>
    <xf numFmtId="0" fontId="13" fillId="5" borderId="0" xfId="0" applyFont="1" applyFill="1" applyProtection="1">
      <protection hidden="1"/>
    </xf>
    <xf numFmtId="0" fontId="0" fillId="0" borderId="54" xfId="0" applyBorder="1" applyProtection="1">
      <protection hidden="1"/>
    </xf>
    <xf numFmtId="0" fontId="0" fillId="5" borderId="54" xfId="0" applyFill="1" applyBorder="1" applyProtection="1">
      <protection hidden="1"/>
    </xf>
    <xf numFmtId="0" fontId="13" fillId="0" borderId="0" xfId="0" applyFont="1" applyAlignment="1" applyProtection="1">
      <alignment wrapText="1"/>
      <protection locked="0"/>
    </xf>
    <xf numFmtId="0" fontId="21" fillId="0" borderId="0" xfId="0" applyFont="1" applyProtection="1">
      <protection locked="0" hidden="1"/>
    </xf>
    <xf numFmtId="0" fontId="0" fillId="18" borderId="0" xfId="0" applyFill="1" applyProtection="1">
      <protection locked="0" hidden="1"/>
    </xf>
    <xf numFmtId="0" fontId="21" fillId="18" borderId="0" xfId="0" applyFont="1" applyFill="1" applyProtection="1">
      <protection locked="0" hidden="1"/>
    </xf>
    <xf numFmtId="0" fontId="0" fillId="0" borderId="0" xfId="0" applyAlignment="1" applyProtection="1">
      <alignment horizontal="center"/>
      <protection locked="0" hidden="1"/>
    </xf>
    <xf numFmtId="0" fontId="81" fillId="0" borderId="0" xfId="20" applyProtection="1">
      <protection locked="0"/>
    </xf>
    <xf numFmtId="166" fontId="81" fillId="0" borderId="0" xfId="20" applyNumberFormat="1" applyAlignment="1" applyProtection="1">
      <alignment horizontal="center"/>
      <protection locked="0"/>
    </xf>
    <xf numFmtId="167" fontId="81" fillId="0" borderId="0" xfId="20" applyNumberFormat="1" applyAlignment="1" applyProtection="1">
      <alignment horizontal="center"/>
      <protection locked="0"/>
    </xf>
    <xf numFmtId="49" fontId="81" fillId="0" borderId="0" xfId="20" applyNumberFormat="1" applyProtection="1">
      <protection locked="0"/>
    </xf>
    <xf numFmtId="0" fontId="21" fillId="0" borderId="3" xfId="0" applyFont="1" applyBorder="1" applyProtection="1">
      <protection hidden="1"/>
    </xf>
    <xf numFmtId="0" fontId="13" fillId="0" borderId="0" xfId="0" applyFont="1" applyAlignment="1" applyProtection="1">
      <alignment horizontal="center"/>
      <protection hidden="1"/>
    </xf>
    <xf numFmtId="0" fontId="13" fillId="18" borderId="0" xfId="0" applyFont="1" applyFill="1" applyAlignment="1" applyProtection="1">
      <alignment horizontal="left"/>
      <protection hidden="1"/>
    </xf>
    <xf numFmtId="0" fontId="70" fillId="18" borderId="0" xfId="0" applyFont="1" applyFill="1" applyAlignment="1" applyProtection="1">
      <alignment horizontal="center"/>
      <protection hidden="1"/>
    </xf>
    <xf numFmtId="0" fontId="13" fillId="0" borderId="0" xfId="0" applyFont="1" applyAlignment="1" applyProtection="1">
      <alignment vertical="top"/>
      <protection hidden="1"/>
    </xf>
    <xf numFmtId="0" fontId="70" fillId="0" borderId="0" xfId="0" applyFont="1" applyProtection="1">
      <protection hidden="1"/>
    </xf>
    <xf numFmtId="1" fontId="13" fillId="0" borderId="0" xfId="0" applyNumberFormat="1" applyFont="1" applyAlignment="1" applyProtection="1">
      <alignment vertical="top"/>
      <protection hidden="1"/>
    </xf>
    <xf numFmtId="0" fontId="70" fillId="18" borderId="0" xfId="0" applyFont="1" applyFill="1" applyProtection="1">
      <protection hidden="1"/>
    </xf>
    <xf numFmtId="2" fontId="47" fillId="18" borderId="0" xfId="0" applyNumberFormat="1" applyFont="1" applyFill="1" applyAlignment="1" applyProtection="1">
      <alignment vertical="center"/>
      <protection hidden="1"/>
    </xf>
    <xf numFmtId="0" fontId="13" fillId="11" borderId="0" xfId="0" applyFont="1" applyFill="1" applyAlignment="1" applyProtection="1">
      <alignment vertical="center"/>
      <protection hidden="1"/>
    </xf>
    <xf numFmtId="2" fontId="39" fillId="12" borderId="0" xfId="0" applyNumberFormat="1" applyFont="1" applyFill="1" applyAlignment="1" applyProtection="1">
      <alignment vertical="center"/>
      <protection hidden="1"/>
    </xf>
    <xf numFmtId="0" fontId="13" fillId="11" borderId="0" xfId="0" applyFont="1" applyFill="1" applyProtection="1">
      <protection hidden="1"/>
    </xf>
    <xf numFmtId="0" fontId="0" fillId="0" borderId="22" xfId="0" applyBorder="1" applyAlignment="1" applyProtection="1">
      <alignment vertical="center" textRotation="90"/>
      <protection hidden="1"/>
    </xf>
    <xf numFmtId="9" fontId="39" fillId="0" borderId="0" xfId="0" applyNumberFormat="1" applyFont="1" applyAlignment="1" applyProtection="1">
      <alignment vertical="center"/>
      <protection hidden="1"/>
    </xf>
    <xf numFmtId="164" fontId="0" fillId="0" borderId="0" xfId="0" applyNumberFormat="1" applyProtection="1">
      <protection locked="0"/>
    </xf>
    <xf numFmtId="0" fontId="0" fillId="0" borderId="3" xfId="0" applyBorder="1" applyAlignment="1">
      <alignment horizontal="center"/>
    </xf>
    <xf numFmtId="0" fontId="75" fillId="18" borderId="3" xfId="0" applyFont="1" applyFill="1" applyBorder="1" applyAlignment="1">
      <alignment horizontal="center" vertical="center"/>
    </xf>
    <xf numFmtId="0" fontId="87" fillId="0" borderId="0" xfId="0" applyFont="1" applyAlignment="1">
      <alignment vertical="center"/>
    </xf>
    <xf numFmtId="0" fontId="19" fillId="0" borderId="0" xfId="0" applyFont="1"/>
    <xf numFmtId="168" fontId="0" fillId="0" borderId="0" xfId="0" applyNumberFormat="1" applyAlignment="1">
      <alignment horizontal="center"/>
    </xf>
    <xf numFmtId="0" fontId="85" fillId="18" borderId="83" xfId="0" applyFont="1" applyFill="1" applyBorder="1" applyAlignment="1">
      <alignment vertical="center"/>
    </xf>
    <xf numFmtId="0" fontId="0" fillId="0" borderId="84" xfId="0" applyBorder="1" applyAlignment="1">
      <alignment horizontal="center"/>
    </xf>
    <xf numFmtId="0" fontId="6" fillId="0" borderId="33" xfId="0" applyFont="1" applyBorder="1"/>
    <xf numFmtId="0" fontId="70" fillId="18" borderId="0" xfId="0" applyFont="1" applyFill="1"/>
    <xf numFmtId="0" fontId="13" fillId="18" borderId="0" xfId="0" applyFont="1" applyFill="1"/>
    <xf numFmtId="0" fontId="0" fillId="18" borderId="0" xfId="0" applyFill="1"/>
    <xf numFmtId="49" fontId="12" fillId="0" borderId="0" xfId="0" applyNumberFormat="1" applyFont="1"/>
    <xf numFmtId="0" fontId="0" fillId="0" borderId="0" xfId="0" applyAlignment="1" applyProtection="1">
      <alignment vertical="center" wrapText="1"/>
      <protection hidden="1"/>
    </xf>
    <xf numFmtId="0" fontId="13" fillId="0" borderId="0" xfId="0" applyFont="1" applyAlignment="1" applyProtection="1">
      <alignment vertical="center"/>
      <protection hidden="1"/>
    </xf>
    <xf numFmtId="0" fontId="10" fillId="0" borderId="0" xfId="0" applyFont="1"/>
    <xf numFmtId="0" fontId="10" fillId="0" borderId="0" xfId="0" applyFont="1" applyAlignment="1" applyProtection="1">
      <alignment horizontal="left"/>
      <protection locked="0"/>
    </xf>
    <xf numFmtId="0" fontId="10" fillId="0" borderId="0" xfId="0" applyFont="1" applyProtection="1">
      <protection locked="0"/>
    </xf>
    <xf numFmtId="49" fontId="10" fillId="0" borderId="0" xfId="0" applyNumberFormat="1" applyFont="1" applyProtection="1">
      <protection locked="0"/>
    </xf>
    <xf numFmtId="0" fontId="10" fillId="18" borderId="0" xfId="0" applyFont="1" applyFill="1"/>
    <xf numFmtId="0" fontId="10" fillId="0" borderId="0" xfId="0" applyFont="1" applyAlignment="1">
      <alignment vertical="top"/>
    </xf>
    <xf numFmtId="0" fontId="10" fillId="0" borderId="0" xfId="0" applyFont="1" applyAlignment="1">
      <alignment vertical="top" wrapText="1"/>
    </xf>
    <xf numFmtId="0" fontId="0" fillId="0" borderId="0" xfId="0" applyAlignment="1">
      <alignment vertical="top"/>
    </xf>
    <xf numFmtId="0" fontId="14" fillId="0" borderId="18" xfId="13" applyFont="1" applyBorder="1" applyAlignment="1" applyProtection="1">
      <alignment vertical="center"/>
      <protection locked="0"/>
    </xf>
    <xf numFmtId="1" fontId="13" fillId="12" borderId="0" xfId="17" applyNumberFormat="1" applyFont="1" applyFill="1" applyBorder="1" applyAlignment="1" applyProtection="1">
      <protection locked="0" hidden="1"/>
    </xf>
    <xf numFmtId="0" fontId="20" fillId="0" borderId="0" xfId="0" applyFont="1" applyAlignment="1" applyProtection="1">
      <alignment vertical="center"/>
      <protection hidden="1"/>
    </xf>
    <xf numFmtId="0" fontId="75" fillId="12" borderId="3" xfId="0" applyFont="1" applyFill="1" applyBorder="1" applyAlignment="1">
      <alignment horizontal="center" vertical="center"/>
    </xf>
    <xf numFmtId="0" fontId="0" fillId="12" borderId="3" xfId="0" applyFill="1" applyBorder="1" applyAlignment="1">
      <alignment horizontal="center" vertical="center"/>
    </xf>
    <xf numFmtId="0" fontId="0" fillId="0" borderId="81" xfId="0" applyBorder="1"/>
    <xf numFmtId="0" fontId="6" fillId="0" borderId="83" xfId="0" applyFont="1" applyBorder="1"/>
    <xf numFmtId="0" fontId="0" fillId="12" borderId="84" xfId="0" applyFill="1" applyBorder="1" applyAlignment="1">
      <alignment horizontal="center" vertical="center"/>
    </xf>
    <xf numFmtId="0" fontId="0" fillId="0" borderId="34" xfId="0" applyBorder="1"/>
    <xf numFmtId="0" fontId="0" fillId="0" borderId="35" xfId="0" applyBorder="1" applyAlignment="1">
      <alignment horizontal="center"/>
    </xf>
    <xf numFmtId="0" fontId="0" fillId="12" borderId="3" xfId="0" applyFill="1" applyBorder="1" applyAlignment="1">
      <alignment horizontal="center"/>
    </xf>
    <xf numFmtId="0" fontId="85" fillId="18" borderId="81" xfId="0" applyFont="1" applyFill="1" applyBorder="1" applyAlignment="1">
      <alignment vertical="center"/>
    </xf>
    <xf numFmtId="0" fontId="75" fillId="18" borderId="32" xfId="0" applyFont="1" applyFill="1" applyBorder="1" applyAlignment="1">
      <alignment horizontal="center" vertical="center"/>
    </xf>
    <xf numFmtId="0" fontId="0" fillId="0" borderId="32" xfId="0" applyBorder="1" applyAlignment="1">
      <alignment horizontal="center"/>
    </xf>
    <xf numFmtId="0" fontId="0" fillId="0" borderId="82" xfId="0" applyBorder="1" applyAlignment="1">
      <alignment horizontal="center"/>
    </xf>
    <xf numFmtId="0" fontId="0" fillId="12" borderId="84" xfId="0" applyFill="1" applyBorder="1" applyAlignment="1">
      <alignment horizontal="center"/>
    </xf>
    <xf numFmtId="0" fontId="0" fillId="0" borderId="0" xfId="0" applyAlignment="1" applyProtection="1">
      <alignment horizontal="center"/>
      <protection hidden="1"/>
    </xf>
    <xf numFmtId="0" fontId="21" fillId="20" borderId="9" xfId="0" applyFont="1" applyFill="1" applyBorder="1" applyProtection="1">
      <protection hidden="1"/>
    </xf>
    <xf numFmtId="0" fontId="21" fillId="20" borderId="7" xfId="0" applyFont="1" applyFill="1" applyBorder="1" applyProtection="1">
      <protection hidden="1"/>
    </xf>
    <xf numFmtId="0" fontId="0" fillId="20" borderId="7" xfId="0" applyFill="1" applyBorder="1" applyProtection="1">
      <protection hidden="1"/>
    </xf>
    <xf numFmtId="0" fontId="0" fillId="20" borderId="10" xfId="0" applyFill="1" applyBorder="1" applyProtection="1">
      <protection hidden="1"/>
    </xf>
    <xf numFmtId="0" fontId="21" fillId="20" borderId="11" xfId="0" applyFont="1" applyFill="1" applyBorder="1" applyProtection="1">
      <protection hidden="1"/>
    </xf>
    <xf numFmtId="0" fontId="0" fillId="20" borderId="4" xfId="0" applyFill="1" applyBorder="1" applyProtection="1">
      <protection hidden="1"/>
    </xf>
    <xf numFmtId="0" fontId="6" fillId="20" borderId="12" xfId="0" applyFont="1" applyFill="1" applyBorder="1" applyAlignment="1" applyProtection="1">
      <alignment horizontal="center" vertical="center"/>
      <protection hidden="1"/>
    </xf>
    <xf numFmtId="0" fontId="18" fillId="20" borderId="14" xfId="0" applyFont="1" applyFill="1" applyBorder="1" applyAlignment="1" applyProtection="1">
      <alignment horizontal="center" vertical="center"/>
      <protection hidden="1"/>
    </xf>
    <xf numFmtId="0" fontId="21" fillId="20" borderId="3" xfId="0" applyFont="1" applyFill="1" applyBorder="1" applyProtection="1">
      <protection hidden="1"/>
    </xf>
    <xf numFmtId="0" fontId="21" fillId="20" borderId="13" xfId="0" applyFont="1" applyFill="1" applyBorder="1" applyProtection="1">
      <protection hidden="1"/>
    </xf>
    <xf numFmtId="0" fontId="0" fillId="20" borderId="90" xfId="0" applyFill="1" applyBorder="1" applyProtection="1">
      <protection hidden="1"/>
    </xf>
    <xf numFmtId="0" fontId="0" fillId="25" borderId="37" xfId="0" applyFill="1" applyBorder="1" applyAlignment="1" applyProtection="1">
      <alignment horizontal="center"/>
      <protection hidden="1"/>
    </xf>
    <xf numFmtId="0" fontId="0" fillId="23" borderId="37" xfId="0" applyFill="1" applyBorder="1" applyAlignment="1" applyProtection="1">
      <alignment horizontal="center"/>
      <protection hidden="1"/>
    </xf>
    <xf numFmtId="0" fontId="0" fillId="23" borderId="91" xfId="0" applyFill="1" applyBorder="1" applyAlignment="1" applyProtection="1">
      <alignment horizontal="center"/>
      <protection hidden="1"/>
    </xf>
    <xf numFmtId="0" fontId="21" fillId="20" borderId="3" xfId="0" applyFont="1" applyFill="1" applyBorder="1" applyAlignment="1" applyProtection="1">
      <alignment horizontal="center"/>
      <protection hidden="1"/>
    </xf>
    <xf numFmtId="0" fontId="0" fillId="0" borderId="83" xfId="0" applyBorder="1" applyAlignment="1" applyProtection="1">
      <alignment horizontal="center" wrapText="1"/>
      <protection hidden="1"/>
    </xf>
    <xf numFmtId="0" fontId="0" fillId="0" borderId="3" xfId="0" applyBorder="1" applyAlignment="1" applyProtection="1">
      <alignment horizontal="center"/>
      <protection hidden="1"/>
    </xf>
    <xf numFmtId="0" fontId="0" fillId="0" borderId="84" xfId="0" applyBorder="1" applyAlignment="1" applyProtection="1">
      <alignment horizontal="center"/>
      <protection hidden="1"/>
    </xf>
    <xf numFmtId="0" fontId="17" fillId="20" borderId="3" xfId="0" applyFont="1" applyFill="1" applyBorder="1" applyAlignment="1" applyProtection="1">
      <alignment horizontal="center" wrapText="1"/>
      <protection hidden="1"/>
    </xf>
    <xf numFmtId="0" fontId="17" fillId="20" borderId="18" xfId="0" applyFont="1" applyFill="1" applyBorder="1" applyAlignment="1" applyProtection="1">
      <alignment horizontal="center" wrapText="1"/>
      <protection hidden="1"/>
    </xf>
    <xf numFmtId="0" fontId="0" fillId="33" borderId="83" xfId="0" applyFill="1" applyBorder="1" applyProtection="1">
      <protection hidden="1"/>
    </xf>
    <xf numFmtId="0" fontId="0" fillId="33" borderId="3" xfId="0" applyFill="1" applyBorder="1" applyAlignment="1" applyProtection="1">
      <alignment horizontal="center"/>
      <protection hidden="1"/>
    </xf>
    <xf numFmtId="0" fontId="0" fillId="33" borderId="84" xfId="0" applyFill="1" applyBorder="1" applyAlignment="1" applyProtection="1">
      <alignment horizontal="center"/>
      <protection hidden="1"/>
    </xf>
    <xf numFmtId="0" fontId="21" fillId="20" borderId="83" xfId="0" applyFont="1" applyFill="1" applyBorder="1" applyProtection="1">
      <protection hidden="1"/>
    </xf>
    <xf numFmtId="0" fontId="92" fillId="20" borderId="3" xfId="0" applyFont="1" applyFill="1" applyBorder="1" applyAlignment="1" applyProtection="1">
      <alignment horizontal="center"/>
      <protection hidden="1"/>
    </xf>
    <xf numFmtId="0" fontId="21" fillId="25" borderId="3" xfId="0" applyFont="1" applyFill="1" applyBorder="1" applyProtection="1">
      <protection hidden="1"/>
    </xf>
    <xf numFmtId="2" fontId="93" fillId="20" borderId="3" xfId="0" applyNumberFormat="1" applyFont="1" applyFill="1" applyBorder="1" applyAlignment="1" applyProtection="1">
      <alignment horizontal="center"/>
      <protection hidden="1"/>
    </xf>
    <xf numFmtId="0" fontId="94" fillId="3" borderId="20" xfId="0" applyFont="1" applyFill="1" applyBorder="1" applyAlignment="1" applyProtection="1">
      <alignment horizontal="center"/>
      <protection hidden="1"/>
    </xf>
    <xf numFmtId="0" fontId="21" fillId="3" borderId="3" xfId="0" applyFont="1" applyFill="1" applyBorder="1" applyAlignment="1" applyProtection="1">
      <alignment horizontal="center"/>
      <protection hidden="1"/>
    </xf>
    <xf numFmtId="0" fontId="0" fillId="3" borderId="18" xfId="0" applyFill="1" applyBorder="1" applyAlignment="1" applyProtection="1">
      <alignment horizontal="center"/>
      <protection hidden="1"/>
    </xf>
    <xf numFmtId="0" fontId="6" fillId="0" borderId="83" xfId="0" applyFont="1" applyBorder="1" applyAlignment="1" applyProtection="1">
      <alignment horizontal="center"/>
      <protection hidden="1"/>
    </xf>
    <xf numFmtId="0" fontId="6" fillId="0" borderId="33" xfId="0" applyFont="1" applyBorder="1" applyAlignment="1" applyProtection="1">
      <alignment horizontal="center"/>
      <protection hidden="1"/>
    </xf>
    <xf numFmtId="0" fontId="0" fillId="0" borderId="34" xfId="0" applyBorder="1" applyAlignment="1" applyProtection="1">
      <alignment horizontal="center"/>
      <protection hidden="1"/>
    </xf>
    <xf numFmtId="0" fontId="0" fillId="0" borderId="87" xfId="0" applyBorder="1" applyAlignment="1" applyProtection="1">
      <alignment horizontal="center" vertical="center"/>
      <protection hidden="1"/>
    </xf>
    <xf numFmtId="0" fontId="0" fillId="0" borderId="88" xfId="0" applyBorder="1" applyAlignment="1" applyProtection="1">
      <alignment horizontal="center" vertical="center"/>
      <protection hidden="1"/>
    </xf>
    <xf numFmtId="0" fontId="0" fillId="0" borderId="89" xfId="0" applyBorder="1" applyAlignment="1" applyProtection="1">
      <alignment horizontal="center" vertical="center"/>
      <protection hidden="1"/>
    </xf>
    <xf numFmtId="0" fontId="0" fillId="20" borderId="36" xfId="0" applyFill="1" applyBorder="1" applyProtection="1">
      <protection hidden="1"/>
    </xf>
    <xf numFmtId="0" fontId="0" fillId="0" borderId="81" xfId="0" applyBorder="1" applyProtection="1">
      <protection hidden="1"/>
    </xf>
    <xf numFmtId="0" fontId="0" fillId="0" borderId="32" xfId="0" applyBorder="1" applyProtection="1">
      <protection hidden="1"/>
    </xf>
    <xf numFmtId="0" fontId="0" fillId="0" borderId="7" xfId="0" applyBorder="1" applyProtection="1">
      <protection hidden="1"/>
    </xf>
    <xf numFmtId="0" fontId="0" fillId="18" borderId="32" xfId="0" applyFill="1" applyBorder="1" applyProtection="1">
      <protection hidden="1"/>
    </xf>
    <xf numFmtId="0" fontId="0" fillId="0" borderId="33" xfId="0" applyBorder="1" applyProtection="1">
      <protection hidden="1"/>
    </xf>
    <xf numFmtId="0" fontId="0" fillId="0" borderId="34" xfId="0" applyBorder="1" applyProtection="1">
      <protection hidden="1"/>
    </xf>
    <xf numFmtId="0" fontId="0" fillId="18" borderId="92" xfId="0" applyFill="1" applyBorder="1" applyProtection="1">
      <protection hidden="1"/>
    </xf>
    <xf numFmtId="0" fontId="21" fillId="20" borderId="16" xfId="0" applyFont="1" applyFill="1" applyBorder="1" applyProtection="1">
      <protection hidden="1"/>
    </xf>
    <xf numFmtId="0" fontId="21" fillId="20" borderId="5" xfId="0" applyFont="1" applyFill="1" applyBorder="1" applyProtection="1">
      <protection hidden="1"/>
    </xf>
    <xf numFmtId="0" fontId="0" fillId="20" borderId="5" xfId="0" applyFill="1" applyBorder="1" applyProtection="1">
      <protection hidden="1"/>
    </xf>
    <xf numFmtId="0" fontId="0" fillId="20" borderId="17" xfId="0" applyFill="1" applyBorder="1" applyProtection="1">
      <protection hidden="1"/>
    </xf>
    <xf numFmtId="0" fontId="46"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18" fillId="0" borderId="0" xfId="0" applyFont="1" applyAlignment="1" applyProtection="1">
      <alignment horizontal="center"/>
      <protection hidden="1"/>
    </xf>
    <xf numFmtId="0" fontId="98" fillId="0" borderId="0" xfId="0" applyFont="1" applyAlignment="1" applyProtection="1">
      <alignment horizontal="center"/>
      <protection hidden="1"/>
    </xf>
    <xf numFmtId="0" fontId="0" fillId="0" borderId="0" xfId="0" applyAlignment="1" applyProtection="1">
      <alignment horizontal="center" wrapText="1"/>
      <protection hidden="1"/>
    </xf>
    <xf numFmtId="0" fontId="6" fillId="0" borderId="0" xfId="0" applyFont="1" applyAlignment="1" applyProtection="1">
      <alignment horizontal="center"/>
      <protection hidden="1"/>
    </xf>
    <xf numFmtId="0" fontId="99" fillId="0" borderId="0" xfId="0" applyFont="1" applyAlignment="1" applyProtection="1">
      <alignment horizontal="center"/>
      <protection hidden="1"/>
    </xf>
    <xf numFmtId="169" fontId="0" fillId="0" borderId="0" xfId="0" applyNumberFormat="1" applyProtection="1">
      <protection hidden="1"/>
    </xf>
    <xf numFmtId="0" fontId="0" fillId="0" borderId="0" xfId="0" applyAlignment="1" applyProtection="1">
      <alignment wrapText="1"/>
      <protection hidden="1"/>
    </xf>
    <xf numFmtId="0" fontId="0" fillId="0" borderId="0" xfId="0" applyAlignment="1" applyProtection="1">
      <alignment horizontal="right" vertical="center" wrapText="1"/>
      <protection hidden="1"/>
    </xf>
    <xf numFmtId="0" fontId="17" fillId="0" borderId="0" xfId="0" applyFont="1" applyAlignment="1" applyProtection="1">
      <alignment wrapText="1"/>
      <protection hidden="1"/>
    </xf>
    <xf numFmtId="0" fontId="0" fillId="0" borderId="0" xfId="0" applyAlignment="1" applyProtection="1">
      <alignment horizontal="right"/>
      <protection hidden="1"/>
    </xf>
    <xf numFmtId="2" fontId="0" fillId="0" borderId="0" xfId="0" applyNumberFormat="1" applyProtection="1">
      <protection hidden="1"/>
    </xf>
    <xf numFmtId="0" fontId="21" fillId="20" borderId="0" xfId="0" applyFont="1" applyFill="1" applyProtection="1">
      <protection hidden="1"/>
    </xf>
    <xf numFmtId="0" fontId="0" fillId="20" borderId="0" xfId="0" applyFill="1" applyProtection="1">
      <protection hidden="1"/>
    </xf>
    <xf numFmtId="0" fontId="0" fillId="20" borderId="0" xfId="0" applyFill="1" applyAlignment="1" applyProtection="1">
      <alignment horizontal="center"/>
      <protection hidden="1"/>
    </xf>
    <xf numFmtId="0" fontId="21" fillId="20" borderId="0" xfId="0" applyFont="1" applyFill="1" applyAlignment="1" applyProtection="1">
      <alignment wrapText="1"/>
      <protection hidden="1"/>
    </xf>
    <xf numFmtId="0" fontId="21" fillId="20" borderId="0" xfId="0" applyFont="1" applyFill="1" applyAlignment="1" applyProtection="1">
      <alignment horizontal="center"/>
      <protection hidden="1"/>
    </xf>
    <xf numFmtId="0" fontId="95" fillId="20" borderId="0" xfId="0" applyFont="1" applyFill="1" applyProtection="1">
      <protection hidden="1"/>
    </xf>
    <xf numFmtId="169" fontId="0" fillId="20" borderId="0" xfId="0" applyNumberFormat="1" applyFill="1" applyAlignment="1" applyProtection="1">
      <alignment horizontal="center"/>
      <protection hidden="1"/>
    </xf>
    <xf numFmtId="0" fontId="96" fillId="20" borderId="0" xfId="0" applyFont="1" applyFill="1" applyProtection="1">
      <protection hidden="1"/>
    </xf>
    <xf numFmtId="0" fontId="0" fillId="20" borderId="0" xfId="0" applyFill="1" applyAlignment="1" applyProtection="1">
      <alignment horizontal="center" vertical="center"/>
      <protection hidden="1"/>
    </xf>
    <xf numFmtId="0" fontId="21" fillId="20" borderId="93" xfId="0" applyFont="1" applyFill="1" applyBorder="1" applyProtection="1">
      <protection hidden="1"/>
    </xf>
    <xf numFmtId="0" fontId="13" fillId="34" borderId="94" xfId="0" applyFont="1" applyFill="1" applyBorder="1" applyProtection="1">
      <protection hidden="1"/>
    </xf>
    <xf numFmtId="0" fontId="13" fillId="34" borderId="94" xfId="0" applyFont="1" applyFill="1" applyBorder="1" applyAlignment="1" applyProtection="1">
      <alignment horizontal="center"/>
      <protection hidden="1"/>
    </xf>
    <xf numFmtId="0" fontId="100" fillId="20" borderId="0" xfId="0" applyFont="1" applyFill="1" applyProtection="1">
      <protection hidden="1"/>
    </xf>
    <xf numFmtId="0" fontId="21" fillId="20" borderId="0" xfId="0" applyFont="1" applyFill="1" applyAlignment="1" applyProtection="1">
      <alignment horizontal="center" wrapText="1"/>
      <protection hidden="1"/>
    </xf>
    <xf numFmtId="0" fontId="97" fillId="20" borderId="0" xfId="0" applyFont="1" applyFill="1" applyAlignment="1" applyProtection="1">
      <alignment vertical="center"/>
      <protection hidden="1"/>
    </xf>
    <xf numFmtId="0" fontId="97" fillId="20" borderId="0" xfId="0" applyFont="1" applyFill="1" applyAlignment="1" applyProtection="1">
      <alignment horizontal="center" vertical="center"/>
      <protection hidden="1"/>
    </xf>
    <xf numFmtId="0" fontId="46" fillId="20" borderId="0" xfId="0" applyFont="1" applyFill="1" applyAlignment="1" applyProtection="1">
      <alignment horizontal="center" vertical="center"/>
      <protection hidden="1"/>
    </xf>
    <xf numFmtId="0" fontId="0" fillId="0" borderId="35" xfId="0" applyBorder="1" applyAlignment="1" applyProtection="1">
      <alignment horizontal="center"/>
      <protection hidden="1"/>
    </xf>
    <xf numFmtId="0" fontId="7" fillId="0" borderId="0" xfId="1" applyFill="1" applyBorder="1" applyAlignment="1" applyProtection="1">
      <alignment vertical="center" wrapText="1"/>
      <protection hidden="1"/>
    </xf>
    <xf numFmtId="0" fontId="0" fillId="0" borderId="34" xfId="0" applyBorder="1" applyAlignment="1">
      <alignment horizontal="center"/>
    </xf>
    <xf numFmtId="168" fontId="0" fillId="0" borderId="0" xfId="0" applyNumberFormat="1" applyProtection="1">
      <protection hidden="1"/>
    </xf>
    <xf numFmtId="0" fontId="75" fillId="0" borderId="0" xfId="0" applyFont="1" applyAlignment="1">
      <alignment horizontal="center" vertical="center"/>
    </xf>
    <xf numFmtId="0" fontId="101" fillId="0" borderId="0" xfId="0" applyFont="1" applyAlignment="1">
      <alignment vertical="center"/>
    </xf>
    <xf numFmtId="0" fontId="87" fillId="18" borderId="30" xfId="0" applyFont="1" applyFill="1" applyBorder="1" applyAlignment="1">
      <alignment vertical="center"/>
    </xf>
    <xf numFmtId="0" fontId="87" fillId="18" borderId="8" xfId="0" applyFont="1" applyFill="1" applyBorder="1" applyAlignment="1">
      <alignment vertical="center"/>
    </xf>
    <xf numFmtId="0" fontId="87" fillId="18" borderId="50" xfId="0" applyFont="1" applyFill="1" applyBorder="1" applyAlignment="1">
      <alignment vertical="center"/>
    </xf>
    <xf numFmtId="0" fontId="21" fillId="0" borderId="0" xfId="0" applyFont="1" applyAlignment="1" applyProtection="1">
      <alignment horizontal="center"/>
      <protection hidden="1"/>
    </xf>
    <xf numFmtId="0" fontId="0" fillId="35" borderId="3" xfId="0" applyFill="1" applyBorder="1" applyAlignment="1" applyProtection="1">
      <alignment horizontal="center"/>
      <protection hidden="1"/>
    </xf>
    <xf numFmtId="0" fontId="0" fillId="7"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0" fillId="0" borderId="49" xfId="0" applyBorder="1" applyProtection="1">
      <protection hidden="1"/>
    </xf>
    <xf numFmtId="0" fontId="0" fillId="36" borderId="49" xfId="0" applyFill="1" applyBorder="1" applyProtection="1">
      <protection hidden="1"/>
    </xf>
    <xf numFmtId="0" fontId="0" fillId="36" borderId="95" xfId="0" applyFill="1" applyBorder="1" applyProtection="1">
      <protection hidden="1"/>
    </xf>
    <xf numFmtId="0" fontId="0" fillId="0" borderId="95" xfId="0" applyBorder="1" applyProtection="1">
      <protection hidden="1"/>
    </xf>
    <xf numFmtId="0" fontId="19" fillId="0" borderId="0" xfId="0" applyFont="1" applyAlignment="1">
      <alignment vertical="top" wrapText="1"/>
    </xf>
    <xf numFmtId="0" fontId="102" fillId="0" borderId="0" xfId="0" applyFont="1" applyAlignment="1">
      <alignment vertical="center"/>
    </xf>
    <xf numFmtId="0" fontId="103" fillId="0" borderId="0" xfId="0" applyFont="1" applyAlignment="1">
      <alignment vertical="center"/>
    </xf>
    <xf numFmtId="0" fontId="0" fillId="9" borderId="0" xfId="0" applyFill="1" applyProtection="1">
      <protection hidden="1"/>
    </xf>
    <xf numFmtId="0" fontId="21" fillId="9" borderId="0" xfId="0" applyFont="1" applyFill="1" applyProtection="1">
      <protection hidden="1"/>
    </xf>
    <xf numFmtId="0" fontId="0" fillId="0" borderId="3" xfId="0" applyBorder="1" applyProtection="1">
      <protection locked="0" hidden="1"/>
    </xf>
    <xf numFmtId="0" fontId="6" fillId="20" borderId="12" xfId="0" applyFont="1" applyFill="1" applyBorder="1" applyAlignment="1" applyProtection="1">
      <alignment horizontal="left" vertical="center"/>
      <protection hidden="1"/>
    </xf>
    <xf numFmtId="0" fontId="18" fillId="20" borderId="14" xfId="0" applyFont="1" applyFill="1" applyBorder="1" applyAlignment="1" applyProtection="1">
      <alignment horizontal="left" vertical="center"/>
      <protection hidden="1"/>
    </xf>
    <xf numFmtId="0" fontId="0" fillId="0" borderId="3" xfId="0" applyBorder="1" applyAlignment="1" applyProtection="1">
      <alignment horizontal="center"/>
      <protection locked="0" hidden="1"/>
    </xf>
    <xf numFmtId="0" fontId="0" fillId="36" borderId="0" xfId="0" applyFill="1" applyProtection="1">
      <protection locked="0" hidden="1"/>
    </xf>
    <xf numFmtId="168" fontId="0" fillId="0" borderId="5" xfId="0" applyNumberFormat="1" applyBorder="1" applyProtection="1">
      <protection hidden="1"/>
    </xf>
    <xf numFmtId="0" fontId="0" fillId="0" borderId="5" xfId="0" applyBorder="1" applyProtection="1">
      <protection hidden="1"/>
    </xf>
    <xf numFmtId="0" fontId="0" fillId="36" borderId="5" xfId="0" applyFill="1" applyBorder="1" applyProtection="1">
      <protection locked="0" hidden="1"/>
    </xf>
    <xf numFmtId="0" fontId="0" fillId="0" borderId="5" xfId="0" applyBorder="1" applyProtection="1">
      <protection locked="0" hidden="1"/>
    </xf>
    <xf numFmtId="0" fontId="0" fillId="2" borderId="0" xfId="0" applyFill="1" applyProtection="1">
      <protection locked="0" hidden="1"/>
    </xf>
    <xf numFmtId="0" fontId="0" fillId="36" borderId="5" xfId="0" applyFill="1" applyBorder="1" applyProtection="1">
      <protection hidden="1"/>
    </xf>
    <xf numFmtId="0" fontId="6" fillId="36" borderId="5" xfId="0" applyFont="1" applyFill="1" applyBorder="1" applyProtection="1">
      <protection locked="0" hidden="1"/>
    </xf>
    <xf numFmtId="0" fontId="16" fillId="0" borderId="0" xfId="0" applyFont="1" applyAlignment="1" applyProtection="1">
      <alignment vertical="center" textRotation="90" wrapText="1"/>
      <protection locked="0" hidden="1"/>
    </xf>
    <xf numFmtId="0" fontId="104" fillId="18" borderId="30" xfId="0" applyFont="1" applyFill="1" applyBorder="1" applyAlignment="1">
      <alignment vertical="center"/>
    </xf>
    <xf numFmtId="0" fontId="6" fillId="0" borderId="0" xfId="0" applyFont="1" applyAlignment="1" applyProtection="1">
      <alignment horizontal="left" vertical="center"/>
      <protection hidden="1"/>
    </xf>
    <xf numFmtId="0" fontId="18" fillId="0" borderId="0" xfId="0" applyFont="1" applyAlignment="1" applyProtection="1">
      <alignment horizontal="left" vertical="center"/>
      <protection hidden="1"/>
    </xf>
    <xf numFmtId="0" fontId="6" fillId="0" borderId="0" xfId="0" applyFont="1" applyProtection="1">
      <protection locked="0" hidden="1"/>
    </xf>
    <xf numFmtId="0" fontId="104" fillId="0" borderId="0" xfId="0" applyFont="1" applyAlignment="1">
      <alignment vertical="center"/>
    </xf>
    <xf numFmtId="0" fontId="85" fillId="0" borderId="0" xfId="0" applyFont="1" applyAlignment="1">
      <alignment vertical="center"/>
    </xf>
    <xf numFmtId="0" fontId="16" fillId="0" borderId="0" xfId="0" applyFont="1" applyAlignment="1" applyProtection="1">
      <alignment vertical="center" textRotation="90"/>
      <protection hidden="1"/>
    </xf>
    <xf numFmtId="0" fontId="20" fillId="0" borderId="0" xfId="0" applyFont="1" applyAlignment="1" applyProtection="1">
      <alignment vertical="center" textRotation="90"/>
      <protection hidden="1"/>
    </xf>
    <xf numFmtId="0" fontId="21" fillId="18" borderId="0" xfId="0" applyFont="1" applyFill="1" applyProtection="1">
      <protection hidden="1"/>
    </xf>
    <xf numFmtId="0" fontId="21" fillId="12" borderId="79" xfId="0" applyFont="1" applyFill="1" applyBorder="1" applyProtection="1">
      <protection hidden="1"/>
    </xf>
    <xf numFmtId="0" fontId="93" fillId="0" borderId="0" xfId="0" applyFont="1" applyAlignment="1" applyProtection="1">
      <alignment horizontal="left"/>
      <protection hidden="1"/>
    </xf>
    <xf numFmtId="0" fontId="93" fillId="18" borderId="0" xfId="0" applyFont="1" applyFill="1" applyAlignment="1" applyProtection="1">
      <alignment horizontal="left"/>
      <protection hidden="1"/>
    </xf>
    <xf numFmtId="168" fontId="0" fillId="36" borderId="0" xfId="0" applyNumberFormat="1" applyFill="1" applyProtection="1">
      <protection locked="0" hidden="1"/>
    </xf>
    <xf numFmtId="168" fontId="0" fillId="36" borderId="5" xfId="0" applyNumberFormat="1" applyFill="1" applyBorder="1" applyProtection="1">
      <protection hidden="1"/>
    </xf>
    <xf numFmtId="168" fontId="0" fillId="36" borderId="5" xfId="21" applyNumberFormat="1" applyFont="1" applyFill="1" applyBorder="1" applyProtection="1">
      <protection locked="0" hidden="1"/>
    </xf>
    <xf numFmtId="0" fontId="59" fillId="11" borderId="0" xfId="7" applyFont="1" applyFill="1" applyAlignment="1" applyProtection="1">
      <alignment horizontal="center" vertical="center" wrapText="1"/>
      <protection locked="0" hidden="1"/>
    </xf>
    <xf numFmtId="0" fontId="40" fillId="0" borderId="0" xfId="8" applyFont="1" applyAlignment="1" applyProtection="1">
      <alignment horizontal="center" vertical="center" wrapText="1"/>
      <protection locked="0" hidden="1"/>
    </xf>
    <xf numFmtId="0" fontId="40" fillId="0" borderId="13" xfId="8" applyFont="1" applyBorder="1" applyAlignment="1" applyProtection="1">
      <alignment horizontal="center" vertical="center" wrapText="1"/>
      <protection locked="0" hidden="1"/>
    </xf>
    <xf numFmtId="0" fontId="60" fillId="11" borderId="0" xfId="7" applyFont="1" applyFill="1" applyAlignment="1" applyProtection="1">
      <alignment horizontal="center" vertical="center"/>
      <protection locked="0" hidden="1"/>
    </xf>
    <xf numFmtId="0" fontId="37" fillId="11" borderId="62" xfId="1" applyFont="1" applyFill="1" applyBorder="1" applyAlignment="1" applyProtection="1">
      <alignment horizontal="center" vertical="center"/>
      <protection hidden="1"/>
    </xf>
    <xf numFmtId="0" fontId="37" fillId="11" borderId="0" xfId="1" applyFont="1" applyFill="1" applyBorder="1" applyAlignment="1" applyProtection="1">
      <alignment horizontal="center" vertical="center"/>
      <protection hidden="1"/>
    </xf>
    <xf numFmtId="0" fontId="9" fillId="11" borderId="52" xfId="0" applyFont="1" applyFill="1" applyBorder="1" applyAlignment="1" applyProtection="1">
      <alignment horizontal="left" indent="1"/>
      <protection hidden="1"/>
    </xf>
    <xf numFmtId="0" fontId="9" fillId="0" borderId="0" xfId="0" applyFont="1" applyAlignment="1" applyProtection="1">
      <alignment horizontal="left" indent="1"/>
      <protection hidden="1"/>
    </xf>
    <xf numFmtId="0" fontId="13" fillId="0" borderId="0" xfId="0" applyFont="1" applyAlignment="1" applyProtection="1">
      <alignment horizontal="center"/>
      <protection locked="0" hidden="1"/>
    </xf>
    <xf numFmtId="0" fontId="13" fillId="0" borderId="0" xfId="0" applyFont="1" applyAlignment="1" applyProtection="1">
      <alignment horizontal="left" vertical="top" wrapText="1"/>
      <protection locked="0" hidden="1"/>
    </xf>
    <xf numFmtId="0" fontId="37" fillId="0" borderId="62" xfId="1" applyFont="1" applyFill="1" applyBorder="1" applyAlignment="1" applyProtection="1">
      <alignment horizontal="center" vertical="center"/>
      <protection hidden="1"/>
    </xf>
    <xf numFmtId="0" fontId="37" fillId="0" borderId="0" xfId="1"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37" fillId="18" borderId="62" xfId="1" applyFont="1" applyFill="1" applyBorder="1" applyAlignment="1" applyProtection="1">
      <alignment horizontal="center" vertical="center"/>
      <protection hidden="1"/>
    </xf>
    <xf numFmtId="0" fontId="37" fillId="18" borderId="0" xfId="1" applyFont="1" applyFill="1" applyBorder="1" applyAlignment="1" applyProtection="1">
      <alignment horizontal="center" vertical="center"/>
      <protection hidden="1"/>
    </xf>
    <xf numFmtId="0" fontId="9" fillId="18" borderId="0" xfId="0" applyFont="1" applyFill="1" applyAlignment="1" applyProtection="1">
      <alignment horizontal="left" indent="1"/>
      <protection hidden="1"/>
    </xf>
    <xf numFmtId="0" fontId="0" fillId="18" borderId="0" xfId="0" applyFill="1" applyAlignment="1" applyProtection="1">
      <alignment horizontal="center"/>
      <protection locked="0" hidden="1"/>
    </xf>
    <xf numFmtId="0" fontId="13" fillId="12" borderId="0" xfId="0" applyFont="1" applyFill="1" applyAlignment="1" applyProtection="1">
      <alignment horizontal="center"/>
      <protection locked="0" hidden="1"/>
    </xf>
    <xf numFmtId="3" fontId="13" fillId="12" borderId="0" xfId="0" applyNumberFormat="1" applyFont="1" applyFill="1" applyAlignment="1" applyProtection="1">
      <alignment horizontal="center"/>
      <protection locked="0" hidden="1"/>
    </xf>
    <xf numFmtId="0" fontId="9" fillId="0" borderId="0" xfId="0" applyFont="1" applyAlignment="1" applyProtection="1">
      <alignment horizontal="center"/>
      <protection hidden="1"/>
    </xf>
    <xf numFmtId="1" fontId="13" fillId="12" borderId="0" xfId="17" applyNumberFormat="1" applyFont="1" applyFill="1" applyBorder="1" applyAlignment="1" applyProtection="1">
      <alignment horizontal="right"/>
      <protection locked="0" hidden="1"/>
    </xf>
    <xf numFmtId="0" fontId="68" fillId="23" borderId="0" xfId="7" applyFont="1" applyFill="1" applyAlignment="1" applyProtection="1">
      <alignment horizontal="center" vertical="center"/>
      <protection hidden="1"/>
    </xf>
    <xf numFmtId="0" fontId="63" fillId="23" borderId="62" xfId="1" applyFont="1" applyFill="1" applyBorder="1" applyAlignment="1" applyProtection="1">
      <alignment horizontal="center" vertical="center"/>
      <protection hidden="1"/>
    </xf>
    <xf numFmtId="0" fontId="63" fillId="23" borderId="0" xfId="1" applyFont="1" applyFill="1" applyBorder="1" applyAlignment="1" applyProtection="1">
      <alignment horizontal="center" vertical="center"/>
      <protection hidden="1"/>
    </xf>
    <xf numFmtId="0" fontId="63" fillId="18" borderId="0" xfId="1" applyFont="1" applyFill="1" applyBorder="1" applyAlignment="1" applyProtection="1">
      <alignment horizontal="center" vertical="center"/>
      <protection hidden="1"/>
    </xf>
    <xf numFmtId="0" fontId="63" fillId="0" borderId="0" xfId="1" applyFont="1" applyFill="1" applyBorder="1" applyAlignment="1" applyProtection="1">
      <alignment horizontal="center" vertical="center"/>
      <protection hidden="1"/>
    </xf>
    <xf numFmtId="0" fontId="89" fillId="0" borderId="0" xfId="1" applyFont="1" applyFill="1" applyBorder="1" applyAlignment="1" applyProtection="1">
      <alignment horizontal="center" vertical="center"/>
      <protection hidden="1"/>
    </xf>
    <xf numFmtId="0" fontId="86" fillId="12" borderId="32" xfId="0" applyFont="1" applyFill="1" applyBorder="1" applyAlignment="1">
      <alignment horizontal="center" vertical="center" wrapText="1"/>
    </xf>
    <xf numFmtId="0" fontId="87" fillId="18" borderId="87" xfId="0" applyFont="1" applyFill="1" applyBorder="1" applyAlignment="1">
      <alignment horizontal="center" vertical="center"/>
    </xf>
    <xf numFmtId="0" fontId="87" fillId="18" borderId="88" xfId="0" applyFont="1" applyFill="1" applyBorder="1" applyAlignment="1">
      <alignment horizontal="center" vertical="center"/>
    </xf>
    <xf numFmtId="0" fontId="87" fillId="18" borderId="89" xfId="0" applyFont="1" applyFill="1" applyBorder="1" applyAlignment="1">
      <alignment horizontal="center" vertical="center"/>
    </xf>
    <xf numFmtId="0" fontId="19" fillId="12" borderId="32" xfId="0" applyFont="1" applyFill="1" applyBorder="1" applyAlignment="1">
      <alignment horizontal="center"/>
    </xf>
    <xf numFmtId="0" fontId="19" fillId="12" borderId="82" xfId="0" applyFont="1" applyFill="1"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87" fillId="18" borderId="30" xfId="0" applyFont="1" applyFill="1" applyBorder="1" applyAlignment="1">
      <alignment horizontal="center" vertical="center"/>
    </xf>
    <xf numFmtId="0" fontId="87" fillId="18" borderId="8" xfId="0" applyFont="1" applyFill="1" applyBorder="1" applyAlignment="1">
      <alignment horizontal="center" vertical="center"/>
    </xf>
    <xf numFmtId="0" fontId="87" fillId="18" borderId="50" xfId="0" applyFont="1" applyFill="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center" wrapText="1"/>
    </xf>
    <xf numFmtId="0" fontId="39" fillId="18" borderId="0" xfId="0" applyFont="1" applyFill="1" applyAlignment="1" applyProtection="1">
      <alignment horizontal="center"/>
      <protection locked="0" hidden="1"/>
    </xf>
    <xf numFmtId="0" fontId="30" fillId="18" borderId="0" xfId="0" applyFont="1" applyFill="1" applyAlignment="1" applyProtection="1">
      <alignment horizontal="left" indent="1"/>
      <protection hidden="1"/>
    </xf>
    <xf numFmtId="0" fontId="30" fillId="11" borderId="63" xfId="0" applyFont="1" applyFill="1" applyBorder="1" applyAlignment="1" applyProtection="1">
      <alignment horizontal="left" vertical="center" indent="1"/>
      <protection hidden="1"/>
    </xf>
    <xf numFmtId="0" fontId="30" fillId="11" borderId="58" xfId="0" applyFont="1" applyFill="1" applyBorder="1" applyAlignment="1" applyProtection="1">
      <alignment horizontal="left" vertical="center" indent="1"/>
      <protection hidden="1"/>
    </xf>
    <xf numFmtId="0" fontId="39" fillId="12" borderId="58" xfId="0" applyFont="1" applyFill="1" applyBorder="1" applyAlignment="1" applyProtection="1">
      <alignment horizontal="center" vertical="center"/>
      <protection locked="0" hidden="1"/>
    </xf>
    <xf numFmtId="0" fontId="39" fillId="12" borderId="66" xfId="0" applyFont="1" applyFill="1" applyBorder="1" applyAlignment="1" applyProtection="1">
      <alignment horizontal="center" vertical="center"/>
      <protection locked="0" hidden="1"/>
    </xf>
    <xf numFmtId="9" fontId="13" fillId="18" borderId="0" xfId="17" applyFont="1" applyFill="1" applyBorder="1" applyAlignment="1" applyProtection="1">
      <alignment horizontal="center"/>
      <protection locked="0" hidden="1"/>
    </xf>
    <xf numFmtId="0" fontId="39" fillId="0" borderId="58" xfId="0" applyFont="1" applyBorder="1" applyAlignment="1" applyProtection="1">
      <alignment horizontal="center" vertical="center"/>
      <protection hidden="1"/>
    </xf>
    <xf numFmtId="0" fontId="39" fillId="0" borderId="66" xfId="0" applyFont="1" applyBorder="1" applyAlignment="1" applyProtection="1">
      <alignment horizontal="center" vertical="center"/>
      <protection hidden="1"/>
    </xf>
    <xf numFmtId="0" fontId="30" fillId="11" borderId="0" xfId="0" applyFont="1" applyFill="1" applyAlignment="1" applyProtection="1">
      <alignment horizontal="left" indent="1"/>
      <protection hidden="1"/>
    </xf>
    <xf numFmtId="0" fontId="39" fillId="12" borderId="0" xfId="0" applyFont="1" applyFill="1" applyAlignment="1" applyProtection="1">
      <alignment horizontal="center"/>
      <protection locked="0" hidden="1"/>
    </xf>
    <xf numFmtId="164" fontId="39" fillId="12" borderId="58" xfId="0" applyNumberFormat="1" applyFont="1" applyFill="1" applyBorder="1" applyAlignment="1" applyProtection="1">
      <alignment horizontal="center" vertical="center"/>
      <protection locked="0" hidden="1"/>
    </xf>
    <xf numFmtId="164" fontId="39" fillId="12" borderId="66" xfId="0" applyNumberFormat="1" applyFont="1" applyFill="1" applyBorder="1" applyAlignment="1" applyProtection="1">
      <alignment horizontal="center" vertical="center"/>
      <protection locked="0" hidden="1"/>
    </xf>
    <xf numFmtId="0" fontId="88" fillId="0" borderId="0" xfId="1" applyFont="1" applyFill="1" applyAlignment="1" applyProtection="1">
      <alignment horizontal="center" vertical="center" wrapText="1"/>
      <protection hidden="1"/>
    </xf>
    <xf numFmtId="2" fontId="47" fillId="0" borderId="0" xfId="0" applyNumberFormat="1" applyFont="1" applyAlignment="1" applyProtection="1">
      <alignment horizontal="left" vertical="center"/>
      <protection locked="0"/>
    </xf>
    <xf numFmtId="0" fontId="30" fillId="0" borderId="0" xfId="0" applyFont="1" applyAlignment="1" applyProtection="1">
      <alignment horizontal="right" vertical="center"/>
      <protection locked="0"/>
    </xf>
    <xf numFmtId="0" fontId="0" fillId="0" borderId="0" xfId="0" applyAlignment="1" applyProtection="1">
      <alignment horizontal="center"/>
      <protection locked="0"/>
    </xf>
    <xf numFmtId="0" fontId="16" fillId="0" borderId="0" xfId="0" applyFont="1" applyAlignment="1" applyProtection="1">
      <alignment horizontal="center" vertical="center" wrapText="1"/>
      <protection hidden="1"/>
    </xf>
    <xf numFmtId="0" fontId="30" fillId="11" borderId="62" xfId="0" applyFont="1" applyFill="1" applyBorder="1" applyAlignment="1" applyProtection="1">
      <alignment horizontal="right" vertical="center" indent="1"/>
      <protection hidden="1"/>
    </xf>
    <xf numFmtId="0" fontId="30" fillId="11" borderId="0" xfId="0" applyFont="1" applyFill="1" applyAlignment="1" applyProtection="1">
      <alignment horizontal="right" vertical="center" indent="1"/>
      <protection hidden="1"/>
    </xf>
    <xf numFmtId="0" fontId="30" fillId="11" borderId="85" xfId="0" applyFont="1" applyFill="1" applyBorder="1" applyAlignment="1" applyProtection="1">
      <alignment horizontal="right" vertical="center" indent="1"/>
      <protection hidden="1"/>
    </xf>
    <xf numFmtId="0" fontId="30" fillId="11" borderId="65"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65" xfId="0" applyFill="1" applyBorder="1" applyAlignment="1" applyProtection="1">
      <alignment horizontal="center" vertical="center"/>
      <protection hidden="1"/>
    </xf>
    <xf numFmtId="0" fontId="39" fillId="12" borderId="58" xfId="0" applyFont="1" applyFill="1" applyBorder="1" applyAlignment="1" applyProtection="1">
      <alignment horizontal="center"/>
      <protection locked="0" hidden="1"/>
    </xf>
    <xf numFmtId="0" fontId="39" fillId="12" borderId="66" xfId="0" applyFont="1" applyFill="1" applyBorder="1" applyAlignment="1" applyProtection="1">
      <alignment horizontal="center"/>
      <protection locked="0" hidden="1"/>
    </xf>
    <xf numFmtId="2" fontId="47" fillId="12" borderId="0" xfId="0" applyNumberFormat="1" applyFont="1" applyFill="1" applyAlignment="1" applyProtection="1">
      <alignment horizontal="right" vertical="center"/>
      <protection hidden="1"/>
    </xf>
    <xf numFmtId="2" fontId="47" fillId="12" borderId="65" xfId="0" applyNumberFormat="1" applyFont="1" applyFill="1" applyBorder="1" applyAlignment="1" applyProtection="1">
      <alignment horizontal="right" vertical="center"/>
      <protection hidden="1"/>
    </xf>
    <xf numFmtId="2" fontId="47" fillId="12" borderId="61" xfId="0" applyNumberFormat="1" applyFont="1" applyFill="1" applyBorder="1" applyAlignment="1" applyProtection="1">
      <alignment horizontal="left" vertical="center"/>
      <protection hidden="1"/>
    </xf>
    <xf numFmtId="2" fontId="47" fillId="12" borderId="86" xfId="0" applyNumberFormat="1" applyFont="1" applyFill="1" applyBorder="1" applyAlignment="1" applyProtection="1">
      <alignment horizontal="left" vertical="center"/>
      <protection hidden="1"/>
    </xf>
    <xf numFmtId="2" fontId="47" fillId="0" borderId="0" xfId="0" applyNumberFormat="1" applyFont="1" applyAlignment="1" applyProtection="1">
      <alignment horizontal="right" vertical="center"/>
      <protection locked="0"/>
    </xf>
    <xf numFmtId="0" fontId="14" fillId="0" borderId="18" xfId="0" applyFont="1" applyBorder="1" applyAlignment="1" applyProtection="1">
      <alignment horizontal="center"/>
      <protection locked="0"/>
    </xf>
    <xf numFmtId="0" fontId="14" fillId="0" borderId="20" xfId="0" applyFont="1" applyBorder="1" applyAlignment="1" applyProtection="1">
      <alignment horizontal="center"/>
      <protection locked="0"/>
    </xf>
    <xf numFmtId="0" fontId="54" fillId="0" borderId="40" xfId="0" applyFont="1" applyBorder="1" applyAlignment="1" applyProtection="1">
      <alignment horizontal="center" vertical="center" textRotation="90"/>
      <protection locked="0"/>
    </xf>
    <xf numFmtId="0" fontId="54" fillId="0" borderId="41" xfId="0" applyFont="1" applyBorder="1" applyAlignment="1" applyProtection="1">
      <alignment horizontal="center" vertical="center" textRotation="90"/>
      <protection locked="0"/>
    </xf>
    <xf numFmtId="0" fontId="54" fillId="0" borderId="42" xfId="0" applyFont="1" applyBorder="1" applyAlignment="1" applyProtection="1">
      <alignment horizontal="center" vertical="center" textRotation="90"/>
      <protection locked="0"/>
    </xf>
    <xf numFmtId="0" fontId="57" fillId="0" borderId="0" xfId="0" applyFont="1" applyAlignment="1" applyProtection="1">
      <alignment horizontal="center" vertical="center" textRotation="90"/>
      <protection locked="0"/>
    </xf>
    <xf numFmtId="0" fontId="46" fillId="0" borderId="9" xfId="0" applyFont="1" applyBorder="1" applyAlignment="1" applyProtection="1">
      <alignment horizontal="center" vertical="center" textRotation="90" wrapText="1"/>
      <protection locked="0"/>
    </xf>
    <xf numFmtId="0" fontId="46" fillId="0" borderId="11" xfId="0" applyFont="1" applyBorder="1" applyAlignment="1" applyProtection="1">
      <alignment horizontal="center" vertical="center" textRotation="90" wrapText="1"/>
      <protection locked="0"/>
    </xf>
    <xf numFmtId="0" fontId="46" fillId="0" borderId="16" xfId="0" applyFont="1" applyBorder="1" applyAlignment="1" applyProtection="1">
      <alignment horizontal="center" vertical="center" textRotation="90" wrapText="1"/>
      <protection locked="0"/>
    </xf>
    <xf numFmtId="0" fontId="14" fillId="0" borderId="0" xfId="0" applyFont="1" applyAlignment="1" applyProtection="1">
      <alignment horizontal="center"/>
      <protection locked="0"/>
    </xf>
    <xf numFmtId="0" fontId="14" fillId="0" borderId="39"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2" xfId="0" applyFill="1" applyBorder="1" applyAlignment="1" applyProtection="1">
      <alignment horizontal="center"/>
      <protection hidden="1"/>
    </xf>
    <xf numFmtId="0" fontId="0" fillId="8" borderId="14" xfId="0" applyFill="1" applyBorder="1" applyAlignment="1" applyProtection="1">
      <alignment horizontal="center"/>
      <protection hidden="1"/>
    </xf>
    <xf numFmtId="0" fontId="21" fillId="0" borderId="0" xfId="0" applyFont="1" applyAlignment="1" applyProtection="1">
      <alignment horizontal="left" wrapText="1"/>
      <protection hidden="1"/>
    </xf>
    <xf numFmtId="0" fontId="63" fillId="11" borderId="62" xfId="1" applyFont="1" applyFill="1" applyBorder="1" applyAlignment="1" applyProtection="1">
      <alignment horizontal="center" vertical="center" wrapText="1"/>
      <protection locked="0" hidden="1"/>
    </xf>
    <xf numFmtId="0" fontId="63" fillId="11"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0" fillId="0" borderId="0" xfId="0" applyAlignment="1" applyProtection="1">
      <alignment horizontal="left" vertical="top" wrapText="1"/>
      <protection hidden="1"/>
    </xf>
    <xf numFmtId="0" fontId="67" fillId="0" borderId="0" xfId="0" applyFont="1" applyAlignment="1" applyProtection="1">
      <alignment horizontal="center" vertical="center" wrapText="1"/>
      <protection hidden="1"/>
    </xf>
    <xf numFmtId="0" fontId="28" fillId="0" borderId="0" xfId="0" applyFont="1" applyAlignment="1" applyProtection="1">
      <alignment horizontal="center" vertical="center"/>
      <protection locked="0" hidden="1"/>
    </xf>
    <xf numFmtId="0" fontId="65" fillId="26" borderId="67" xfId="0" applyFont="1" applyFill="1" applyBorder="1" applyAlignment="1" applyProtection="1">
      <alignment horizontal="center" vertical="center"/>
      <protection hidden="1"/>
    </xf>
    <xf numFmtId="0" fontId="13" fillId="0" borderId="0" xfId="0" applyFont="1" applyAlignment="1" applyProtection="1">
      <alignment horizontal="left" vertical="center"/>
      <protection hidden="1"/>
    </xf>
    <xf numFmtId="0" fontId="30" fillId="23" borderId="59" xfId="0" applyFont="1" applyFill="1" applyBorder="1" applyAlignment="1" applyProtection="1">
      <alignment horizontal="right" vertical="center"/>
      <protection hidden="1"/>
    </xf>
    <xf numFmtId="0" fontId="30" fillId="23" borderId="58" xfId="0" applyFont="1" applyFill="1" applyBorder="1" applyAlignment="1" applyProtection="1">
      <alignment horizontal="right" vertical="center"/>
      <protection hidden="1"/>
    </xf>
    <xf numFmtId="0" fontId="16" fillId="7" borderId="58" xfId="0" applyFont="1" applyFill="1" applyBorder="1" applyAlignment="1" applyProtection="1">
      <alignment horizontal="center" vertical="center"/>
      <protection locked="0" hidden="1"/>
    </xf>
    <xf numFmtId="0" fontId="16" fillId="7" borderId="64" xfId="0" applyFont="1" applyFill="1" applyBorder="1" applyAlignment="1" applyProtection="1">
      <alignment horizontal="center" vertical="center"/>
      <protection locked="0" hidden="1"/>
    </xf>
    <xf numFmtId="0" fontId="16" fillId="18" borderId="67" xfId="0" applyFont="1" applyFill="1" applyBorder="1" applyAlignment="1" applyProtection="1">
      <alignment horizontal="center" vertical="center"/>
      <protection locked="0" hidden="1"/>
    </xf>
    <xf numFmtId="0" fontId="16" fillId="18" borderId="68" xfId="0" applyFont="1" applyFill="1" applyBorder="1" applyAlignment="1" applyProtection="1">
      <alignment horizontal="center" vertical="center"/>
      <protection locked="0" hidden="1"/>
    </xf>
    <xf numFmtId="44" fontId="16" fillId="18" borderId="67" xfId="21" applyFont="1" applyFill="1" applyBorder="1" applyAlignment="1" applyProtection="1">
      <alignment horizontal="right" vertical="center"/>
      <protection locked="0" hidden="1"/>
    </xf>
    <xf numFmtId="0" fontId="13" fillId="0" borderId="0" xfId="0" applyFont="1" applyAlignment="1" applyProtection="1">
      <alignment horizontal="left" vertical="center" textRotation="180" wrapText="1"/>
      <protection hidden="1"/>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48" xfId="0" applyBorder="1" applyAlignment="1" applyProtection="1">
      <alignment horizontal="center" vertical="center" wrapText="1"/>
      <protection locked="0"/>
    </xf>
    <xf numFmtId="0" fontId="49" fillId="6" borderId="0" xfId="0" applyFont="1" applyFill="1" applyAlignment="1" applyProtection="1">
      <alignment horizontal="left" vertical="center" wrapText="1"/>
      <protection hidden="1"/>
    </xf>
    <xf numFmtId="2" fontId="61" fillId="7" borderId="0" xfId="0" applyNumberFormat="1" applyFont="1" applyFill="1" applyAlignment="1" applyProtection="1">
      <alignment horizontal="left" vertical="center"/>
      <protection hidden="1"/>
    </xf>
    <xf numFmtId="2" fontId="61" fillId="7" borderId="4" xfId="0" applyNumberFormat="1" applyFont="1" applyFill="1" applyBorder="1" applyAlignment="1" applyProtection="1">
      <alignment horizontal="left" vertical="center"/>
      <protection hidden="1"/>
    </xf>
    <xf numFmtId="2" fontId="61" fillId="7" borderId="5" xfId="0" applyNumberFormat="1" applyFont="1" applyFill="1" applyBorder="1" applyAlignment="1" applyProtection="1">
      <alignment horizontal="left" vertical="center"/>
      <protection hidden="1"/>
    </xf>
    <xf numFmtId="2" fontId="61" fillId="7" borderId="17" xfId="0" applyNumberFormat="1" applyFont="1" applyFill="1" applyBorder="1" applyAlignment="1" applyProtection="1">
      <alignment horizontal="left" vertical="center"/>
      <protection hidden="1"/>
    </xf>
    <xf numFmtId="0" fontId="30" fillId="23" borderId="11" xfId="0" applyFont="1" applyFill="1" applyBorder="1" applyAlignment="1" applyProtection="1">
      <alignment horizontal="right" vertical="center" indent="1"/>
      <protection hidden="1"/>
    </xf>
    <xf numFmtId="0" fontId="30" fillId="23" borderId="0" xfId="0" applyFont="1" applyFill="1" applyAlignment="1" applyProtection="1">
      <alignment horizontal="right" vertical="center" indent="1"/>
      <protection hidden="1"/>
    </xf>
    <xf numFmtId="0" fontId="30" fillId="23" borderId="16" xfId="0" applyFont="1" applyFill="1" applyBorder="1" applyAlignment="1" applyProtection="1">
      <alignment horizontal="right" vertical="center" indent="1"/>
      <protection hidden="1"/>
    </xf>
    <xf numFmtId="0" fontId="30" fillId="23" borderId="5" xfId="0" applyFont="1" applyFill="1" applyBorder="1" applyAlignment="1" applyProtection="1">
      <alignment horizontal="right" vertical="center" indent="1"/>
      <protection hidden="1"/>
    </xf>
    <xf numFmtId="0" fontId="18" fillId="26" borderId="59" xfId="0" applyFont="1" applyFill="1" applyBorder="1" applyAlignment="1" applyProtection="1">
      <alignment horizontal="right" vertical="center"/>
      <protection hidden="1"/>
    </xf>
    <xf numFmtId="0" fontId="18" fillId="26" borderId="58" xfId="0" applyFont="1" applyFill="1" applyBorder="1" applyAlignment="1" applyProtection="1">
      <alignment horizontal="right" vertical="center"/>
      <protection hidden="1"/>
    </xf>
    <xf numFmtId="0" fontId="0" fillId="5" borderId="5" xfId="0" applyFill="1" applyBorder="1" applyAlignment="1" applyProtection="1">
      <alignment horizontal="center" vertical="center"/>
      <protection hidden="1"/>
    </xf>
    <xf numFmtId="0" fontId="30" fillId="11" borderId="59" xfId="0" applyFont="1" applyFill="1" applyBorder="1" applyAlignment="1" applyProtection="1">
      <alignment horizontal="right" vertical="center"/>
      <protection hidden="1"/>
    </xf>
    <xf numFmtId="0" fontId="30" fillId="11" borderId="58" xfId="0" applyFont="1" applyFill="1" applyBorder="1" applyAlignment="1" applyProtection="1">
      <alignment horizontal="right" vertical="center"/>
      <protection hidden="1"/>
    </xf>
    <xf numFmtId="0" fontId="49" fillId="0" borderId="7" xfId="0" applyFont="1" applyBorder="1" applyAlignment="1">
      <alignment horizontal="center"/>
    </xf>
    <xf numFmtId="0" fontId="49" fillId="0" borderId="10" xfId="0" applyFont="1" applyBorder="1" applyAlignment="1">
      <alignment horizontal="center"/>
    </xf>
    <xf numFmtId="164" fontId="18" fillId="5" borderId="0" xfId="0" applyNumberFormat="1" applyFont="1" applyFill="1" applyAlignment="1" applyProtection="1">
      <alignment horizontal="center" vertical="center"/>
      <protection locked="0" hidden="1"/>
    </xf>
    <xf numFmtId="164" fontId="62" fillId="18" borderId="0" xfId="0" applyNumberFormat="1" applyFont="1" applyFill="1" applyAlignment="1" applyProtection="1">
      <alignment horizontal="center" vertical="center" textRotation="180"/>
      <protection locked="0" hidden="1"/>
    </xf>
    <xf numFmtId="164" fontId="62" fillId="18" borderId="0" xfId="0" applyNumberFormat="1" applyFont="1" applyFill="1" applyAlignment="1" applyProtection="1">
      <alignment horizontal="center" vertical="center"/>
      <protection locked="0" hidden="1"/>
    </xf>
    <xf numFmtId="2" fontId="61" fillId="7" borderId="0" xfId="0" applyNumberFormat="1" applyFont="1" applyFill="1" applyAlignment="1" applyProtection="1">
      <alignment horizontal="right" vertical="center"/>
      <protection hidden="1"/>
    </xf>
    <xf numFmtId="2" fontId="61" fillId="7" borderId="5" xfId="0" applyNumberFormat="1" applyFont="1" applyFill="1" applyBorder="1" applyAlignment="1" applyProtection="1">
      <alignment horizontal="right" vertical="center"/>
      <protection hidden="1"/>
    </xf>
    <xf numFmtId="164" fontId="16" fillId="7" borderId="58" xfId="0" applyNumberFormat="1" applyFont="1" applyFill="1" applyBorder="1" applyAlignment="1" applyProtection="1">
      <alignment horizontal="center" vertical="center"/>
      <protection locked="0" hidden="1"/>
    </xf>
    <xf numFmtId="164" fontId="16" fillId="7" borderId="64" xfId="0" applyNumberFormat="1" applyFont="1" applyFill="1" applyBorder="1" applyAlignment="1" applyProtection="1">
      <alignment horizontal="center" vertical="center"/>
      <protection locked="0" hidden="1"/>
    </xf>
    <xf numFmtId="0" fontId="9" fillId="25" borderId="0" xfId="0" applyFont="1" applyFill="1" applyAlignment="1" applyProtection="1">
      <alignment horizontal="center" vertical="center"/>
      <protection hidden="1"/>
    </xf>
    <xf numFmtId="0" fontId="0" fillId="24" borderId="15" xfId="0" applyFill="1" applyBorder="1" applyAlignment="1" applyProtection="1">
      <alignment horizontal="center" vertical="center"/>
      <protection hidden="1"/>
    </xf>
    <xf numFmtId="0" fontId="13" fillId="0" borderId="0" xfId="0" applyFont="1" applyAlignment="1" applyProtection="1">
      <alignment horizontal="right" vertical="center" textRotation="90" wrapText="1"/>
      <protection hidden="1"/>
    </xf>
    <xf numFmtId="164" fontId="62" fillId="18" borderId="0" xfId="0" applyNumberFormat="1" applyFont="1" applyFill="1" applyAlignment="1" applyProtection="1">
      <alignment horizontal="center" vertical="center" textRotation="90"/>
      <protection locked="0" hidden="1"/>
    </xf>
    <xf numFmtId="0" fontId="13" fillId="18"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protection hidden="1"/>
    </xf>
    <xf numFmtId="0" fontId="16" fillId="12" borderId="58" xfId="0" applyFont="1" applyFill="1" applyBorder="1" applyAlignment="1" applyProtection="1">
      <alignment horizontal="center" vertical="center"/>
      <protection locked="0" hidden="1"/>
    </xf>
    <xf numFmtId="0" fontId="16" fillId="12" borderId="64" xfId="0" applyFont="1" applyFill="1" applyBorder="1" applyAlignment="1" applyProtection="1">
      <alignment horizontal="center" vertical="center"/>
      <protection locked="0" hidden="1"/>
    </xf>
    <xf numFmtId="0" fontId="39" fillId="0" borderId="64" xfId="0" applyFont="1" applyBorder="1" applyAlignment="1" applyProtection="1">
      <alignment horizontal="center" vertical="center"/>
      <protection hidden="1"/>
    </xf>
    <xf numFmtId="0" fontId="60" fillId="23" borderId="49" xfId="7" applyFont="1" applyFill="1" applyBorder="1" applyAlignment="1" applyProtection="1">
      <alignment horizontal="center" vertical="center"/>
      <protection hidden="1"/>
    </xf>
    <xf numFmtId="0" fontId="16" fillId="0" borderId="0" xfId="0" applyFont="1" applyAlignment="1" applyProtection="1">
      <alignment horizontal="left" vertical="center"/>
      <protection hidden="1"/>
    </xf>
    <xf numFmtId="0" fontId="16" fillId="24" borderId="58" xfId="0" applyFont="1" applyFill="1" applyBorder="1" applyAlignment="1" applyProtection="1">
      <alignment horizontal="center" vertical="center"/>
      <protection locked="0" hidden="1"/>
    </xf>
    <xf numFmtId="0" fontId="16" fillId="24" borderId="64" xfId="0" applyFont="1" applyFill="1" applyBorder="1" applyAlignment="1" applyProtection="1">
      <alignment horizontal="center" vertical="center"/>
      <protection locked="0" hidden="1"/>
    </xf>
    <xf numFmtId="164" fontId="18" fillId="24" borderId="67" xfId="0" applyNumberFormat="1" applyFont="1" applyFill="1" applyBorder="1" applyAlignment="1" applyProtection="1">
      <alignment horizontal="center" vertical="center"/>
      <protection locked="0" hidden="1"/>
    </xf>
    <xf numFmtId="0" fontId="29" fillId="7" borderId="58" xfId="0" applyFont="1" applyFill="1" applyBorder="1" applyAlignment="1" applyProtection="1">
      <alignment horizontal="center" vertical="center"/>
      <protection locked="0" hidden="1"/>
    </xf>
    <xf numFmtId="0" fontId="30" fillId="23" borderId="59" xfId="0" applyFont="1" applyFill="1" applyBorder="1" applyAlignment="1" applyProtection="1">
      <alignment horizontal="center" vertical="center"/>
      <protection hidden="1"/>
    </xf>
    <xf numFmtId="0" fontId="30" fillId="23" borderId="58" xfId="0" applyFont="1" applyFill="1" applyBorder="1" applyAlignment="1" applyProtection="1">
      <alignment horizontal="center" vertical="center"/>
      <protection hidden="1"/>
    </xf>
    <xf numFmtId="0" fontId="30" fillId="11" borderId="59" xfId="0" applyFont="1" applyFill="1" applyBorder="1" applyAlignment="1" applyProtection="1">
      <alignment horizontal="left" vertical="center"/>
      <protection hidden="1"/>
    </xf>
    <xf numFmtId="0" fontId="30" fillId="11" borderId="58" xfId="0" applyFont="1" applyFill="1" applyBorder="1" applyAlignment="1" applyProtection="1">
      <alignment horizontal="left" vertical="center"/>
      <protection hidden="1"/>
    </xf>
    <xf numFmtId="0" fontId="65" fillId="26" borderId="69" xfId="0" applyFont="1" applyFill="1" applyBorder="1" applyAlignment="1" applyProtection="1">
      <alignment horizontal="center" vertical="center"/>
      <protection hidden="1"/>
    </xf>
    <xf numFmtId="164" fontId="64" fillId="18" borderId="0" xfId="0" applyNumberFormat="1" applyFont="1" applyFill="1" applyAlignment="1" applyProtection="1">
      <alignment horizontal="center" vertical="center"/>
      <protection locked="0" hidden="1"/>
    </xf>
    <xf numFmtId="0" fontId="13" fillId="18" borderId="0" xfId="0" applyFont="1" applyFill="1" applyAlignment="1" applyProtection="1">
      <alignment horizontal="center" vertical="center" textRotation="180"/>
      <protection hidden="1"/>
    </xf>
    <xf numFmtId="0" fontId="49" fillId="18" borderId="46" xfId="0" applyFont="1" applyFill="1" applyBorder="1" applyAlignment="1" applyProtection="1">
      <alignment horizontal="left" vertical="center" wrapText="1"/>
      <protection hidden="1"/>
    </xf>
    <xf numFmtId="0" fontId="49" fillId="18" borderId="0" xfId="0" applyFont="1" applyFill="1" applyAlignment="1" applyProtection="1">
      <alignment horizontal="left" vertical="center" wrapText="1"/>
      <protection hidden="1"/>
    </xf>
    <xf numFmtId="0" fontId="49" fillId="18" borderId="38" xfId="0" applyFont="1" applyFill="1" applyBorder="1" applyAlignment="1" applyProtection="1">
      <alignment horizontal="left" vertical="center" wrapText="1"/>
      <protection hidden="1"/>
    </xf>
    <xf numFmtId="0" fontId="49" fillId="18" borderId="47" xfId="0" applyFont="1" applyFill="1" applyBorder="1" applyAlignment="1" applyProtection="1">
      <alignment horizontal="left" vertical="center" wrapText="1"/>
      <protection hidden="1"/>
    </xf>
    <xf numFmtId="0" fontId="49" fillId="18" borderId="29" xfId="0" applyFont="1" applyFill="1" applyBorder="1" applyAlignment="1" applyProtection="1">
      <alignment horizontal="left" vertical="center" wrapText="1"/>
      <protection hidden="1"/>
    </xf>
    <xf numFmtId="0" fontId="49" fillId="18" borderId="48" xfId="0" applyFont="1" applyFill="1" applyBorder="1" applyAlignment="1" applyProtection="1">
      <alignment horizontal="left" vertical="center" wrapText="1"/>
      <protection hidden="1"/>
    </xf>
    <xf numFmtId="0" fontId="49" fillId="18" borderId="43" xfId="0" applyFont="1" applyFill="1" applyBorder="1" applyAlignment="1" applyProtection="1">
      <alignment horizontal="left" vertical="center" wrapText="1"/>
      <protection hidden="1"/>
    </xf>
    <xf numFmtId="0" fontId="49" fillId="18" borderId="44" xfId="0" applyFont="1" applyFill="1" applyBorder="1" applyAlignment="1" applyProtection="1">
      <alignment horizontal="left" vertical="center" wrapText="1"/>
      <protection hidden="1"/>
    </xf>
    <xf numFmtId="0" fontId="49" fillId="18" borderId="45" xfId="0" applyFont="1" applyFill="1" applyBorder="1" applyAlignment="1" applyProtection="1">
      <alignment horizontal="left" vertical="center" wrapText="1"/>
      <protection hidden="1"/>
    </xf>
    <xf numFmtId="164" fontId="18" fillId="24" borderId="68" xfId="0" applyNumberFormat="1" applyFont="1" applyFill="1" applyBorder="1" applyAlignment="1" applyProtection="1">
      <alignment horizontal="center" vertical="center"/>
      <protection locked="0" hidden="1"/>
    </xf>
    <xf numFmtId="0" fontId="0" fillId="7" borderId="58" xfId="0" applyFill="1" applyBorder="1" applyAlignment="1" applyProtection="1">
      <alignment horizontal="center" vertical="center"/>
      <protection locked="0" hidden="1"/>
    </xf>
    <xf numFmtId="0" fontId="0" fillId="7" borderId="64" xfId="0" applyFill="1" applyBorder="1" applyAlignment="1" applyProtection="1">
      <alignment horizontal="center" vertical="center"/>
      <protection locked="0" hidden="1"/>
    </xf>
    <xf numFmtId="0" fontId="66" fillId="23" borderId="58" xfId="0" applyFont="1" applyFill="1" applyBorder="1" applyAlignment="1" applyProtection="1">
      <alignment horizontal="center" vertical="center"/>
      <protection hidden="1"/>
    </xf>
    <xf numFmtId="0" fontId="16" fillId="18" borderId="58" xfId="0" applyFont="1" applyFill="1" applyBorder="1" applyAlignment="1" applyProtection="1">
      <alignment horizontal="center" vertical="center"/>
      <protection hidden="1"/>
    </xf>
    <xf numFmtId="0" fontId="16" fillId="18" borderId="64" xfId="0" applyFont="1" applyFill="1" applyBorder="1" applyAlignment="1" applyProtection="1">
      <alignment horizontal="center" vertical="center"/>
      <protection hidden="1"/>
    </xf>
    <xf numFmtId="0" fontId="16" fillId="12" borderId="73" xfId="0" applyFont="1" applyFill="1" applyBorder="1" applyAlignment="1" applyProtection="1">
      <alignment horizontal="center" vertical="center"/>
      <protection locked="0" hidden="1"/>
    </xf>
    <xf numFmtId="0" fontId="16" fillId="18" borderId="73" xfId="0" applyFont="1" applyFill="1" applyBorder="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30" fillId="23" borderId="70" xfId="0" applyFont="1" applyFill="1" applyBorder="1" applyAlignment="1" applyProtection="1">
      <alignment horizontal="left" vertical="center"/>
      <protection hidden="1"/>
    </xf>
    <xf numFmtId="0" fontId="30" fillId="23" borderId="71" xfId="0" applyFont="1" applyFill="1" applyBorder="1" applyAlignment="1" applyProtection="1">
      <alignment horizontal="left" vertical="center"/>
      <protection hidden="1"/>
    </xf>
    <xf numFmtId="0" fontId="16" fillId="7" borderId="65" xfId="0" applyFont="1" applyFill="1" applyBorder="1" applyAlignment="1" applyProtection="1">
      <alignment horizontal="center" vertical="center" wrapText="1"/>
      <protection locked="0" hidden="1"/>
    </xf>
    <xf numFmtId="0" fontId="16" fillId="7" borderId="72" xfId="0" applyFont="1" applyFill="1" applyBorder="1" applyAlignment="1" applyProtection="1">
      <alignment horizontal="center" vertical="center" wrapText="1"/>
      <protection locked="0" hidden="1"/>
    </xf>
    <xf numFmtId="0" fontId="16" fillId="0" borderId="0" xfId="0" applyFont="1" applyAlignment="1" applyProtection="1">
      <alignment horizontal="center" vertical="center"/>
      <protection locked="0" hidden="1"/>
    </xf>
    <xf numFmtId="0" fontId="12" fillId="18" borderId="0" xfId="0" applyFont="1" applyFill="1" applyAlignment="1" applyProtection="1">
      <alignment horizontal="center" vertical="center"/>
      <protection locked="0" hidden="1"/>
    </xf>
    <xf numFmtId="0" fontId="37" fillId="23" borderId="62" xfId="1" applyFont="1" applyFill="1" applyBorder="1" applyAlignment="1" applyProtection="1">
      <alignment horizontal="center" vertical="center"/>
      <protection hidden="1"/>
    </xf>
    <xf numFmtId="0" fontId="37" fillId="23" borderId="0" xfId="1" applyFont="1" applyFill="1" applyBorder="1" applyAlignment="1" applyProtection="1">
      <alignment horizontal="center" vertical="center"/>
      <protection hidden="1"/>
    </xf>
    <xf numFmtId="0" fontId="63" fillId="11" borderId="0" xfId="1" applyFont="1" applyFill="1" applyBorder="1" applyAlignment="1" applyProtection="1">
      <alignment horizontal="center" vertical="center"/>
      <protection hidden="1"/>
    </xf>
    <xf numFmtId="0" fontId="9" fillId="25" borderId="0" xfId="0" applyFont="1" applyFill="1" applyAlignment="1" applyProtection="1">
      <alignment horizontal="center" vertical="center" textRotation="90"/>
      <protection hidden="1"/>
    </xf>
    <xf numFmtId="164" fontId="18" fillId="5" borderId="0" xfId="0" applyNumberFormat="1" applyFont="1" applyFill="1" applyAlignment="1" applyProtection="1">
      <alignment horizontal="center" vertical="center" textRotation="90"/>
      <protection locked="0" hidden="1"/>
    </xf>
    <xf numFmtId="0" fontId="47" fillId="11" borderId="51" xfId="0" applyFont="1" applyFill="1" applyBorder="1" applyAlignment="1" applyProtection="1">
      <alignment horizontal="right" vertical="center" indent="3"/>
      <protection hidden="1"/>
    </xf>
    <xf numFmtId="0" fontId="28" fillId="12" borderId="51" xfId="0" applyFont="1" applyFill="1" applyBorder="1" applyAlignment="1" applyProtection="1">
      <alignment horizontal="center" vertical="center"/>
      <protection hidden="1"/>
    </xf>
    <xf numFmtId="0" fontId="29" fillId="0" borderId="0" xfId="0" applyFont="1" applyAlignment="1" applyProtection="1">
      <alignment horizontal="left"/>
      <protection hidden="1"/>
    </xf>
    <xf numFmtId="0" fontId="69" fillId="11" borderId="62" xfId="1" applyFont="1" applyFill="1" applyBorder="1" applyAlignment="1" applyProtection="1">
      <alignment horizontal="center" vertical="center"/>
      <protection locked="0" hidden="1"/>
    </xf>
    <xf numFmtId="0" fontId="69" fillId="11" borderId="0" xfId="1" applyFont="1" applyFill="1" applyBorder="1" applyAlignment="1" applyProtection="1">
      <alignment horizontal="center" vertical="center"/>
      <protection locked="0" hidden="1"/>
    </xf>
    <xf numFmtId="0" fontId="13" fillId="0" borderId="44" xfId="0" applyFont="1" applyBorder="1" applyAlignment="1" applyProtection="1">
      <alignment horizontal="center"/>
      <protection hidden="1"/>
    </xf>
    <xf numFmtId="0" fontId="27" fillId="6" borderId="43" xfId="0" applyFont="1" applyFill="1" applyBorder="1" applyAlignment="1" applyProtection="1">
      <alignment horizontal="center" vertical="center" wrapText="1"/>
      <protection locked="0" hidden="1"/>
    </xf>
    <xf numFmtId="0" fontId="27" fillId="6" borderId="44" xfId="0" applyFont="1" applyFill="1" applyBorder="1" applyAlignment="1" applyProtection="1">
      <alignment horizontal="center" vertical="center" wrapText="1"/>
      <protection locked="0" hidden="1"/>
    </xf>
    <xf numFmtId="0" fontId="27" fillId="6" borderId="45" xfId="0" applyFont="1" applyFill="1" applyBorder="1" applyAlignment="1" applyProtection="1">
      <alignment horizontal="center" vertical="center" wrapText="1"/>
      <protection locked="0" hidden="1"/>
    </xf>
    <xf numFmtId="0" fontId="27" fillId="6" borderId="46" xfId="0" applyFont="1" applyFill="1" applyBorder="1" applyAlignment="1" applyProtection="1">
      <alignment horizontal="center" vertical="center" wrapText="1"/>
      <protection locked="0" hidden="1"/>
    </xf>
    <xf numFmtId="0" fontId="27" fillId="6" borderId="0" xfId="0" applyFont="1" applyFill="1" applyAlignment="1" applyProtection="1">
      <alignment horizontal="center" vertical="center" wrapText="1"/>
      <protection locked="0" hidden="1"/>
    </xf>
    <xf numFmtId="0" fontId="27" fillId="6" borderId="38" xfId="0" applyFont="1" applyFill="1" applyBorder="1" applyAlignment="1" applyProtection="1">
      <alignment horizontal="center" vertical="center" wrapText="1"/>
      <protection locked="0" hidden="1"/>
    </xf>
    <xf numFmtId="0" fontId="27" fillId="6" borderId="47" xfId="0" applyFont="1" applyFill="1" applyBorder="1" applyAlignment="1" applyProtection="1">
      <alignment horizontal="center" vertical="center" wrapText="1"/>
      <protection locked="0" hidden="1"/>
    </xf>
    <xf numFmtId="0" fontId="27" fillId="6" borderId="29" xfId="0" applyFont="1" applyFill="1" applyBorder="1" applyAlignment="1" applyProtection="1">
      <alignment horizontal="center" vertical="center" wrapText="1"/>
      <protection locked="0" hidden="1"/>
    </xf>
    <xf numFmtId="0" fontId="27" fillId="6" borderId="48" xfId="0" applyFont="1" applyFill="1" applyBorder="1" applyAlignment="1" applyProtection="1">
      <alignment horizontal="center" vertical="center" wrapText="1"/>
      <protection locked="0" hidden="1"/>
    </xf>
    <xf numFmtId="0" fontId="0" fillId="12" borderId="52" xfId="0" applyFill="1" applyBorder="1" applyAlignment="1" applyProtection="1">
      <alignment horizontal="center"/>
      <protection locked="0" hidden="1"/>
    </xf>
    <xf numFmtId="0" fontId="0" fillId="12" borderId="74" xfId="0" applyFill="1" applyBorder="1" applyAlignment="1" applyProtection="1">
      <alignment horizontal="center"/>
      <protection locked="0" hidden="1"/>
    </xf>
    <xf numFmtId="165" fontId="17" fillId="0" borderId="74" xfId="0" applyNumberFormat="1" applyFont="1" applyBorder="1" applyAlignment="1" applyProtection="1">
      <alignment horizontal="center" vertical="center"/>
      <protection hidden="1"/>
    </xf>
    <xf numFmtId="0" fontId="27" fillId="18" borderId="43" xfId="0" applyFont="1" applyFill="1" applyBorder="1" applyAlignment="1" applyProtection="1">
      <alignment horizontal="center" vertical="center" wrapText="1"/>
      <protection hidden="1"/>
    </xf>
    <xf numFmtId="0" fontId="27" fillId="18" borderId="44" xfId="0" applyFont="1" applyFill="1" applyBorder="1" applyAlignment="1" applyProtection="1">
      <alignment horizontal="center" vertical="center" wrapText="1"/>
      <protection hidden="1"/>
    </xf>
    <xf numFmtId="0" fontId="27" fillId="18" borderId="45" xfId="0" applyFont="1" applyFill="1" applyBorder="1" applyAlignment="1" applyProtection="1">
      <alignment horizontal="center" vertical="center" wrapText="1"/>
      <protection hidden="1"/>
    </xf>
    <xf numFmtId="0" fontId="27" fillId="18" borderId="46" xfId="0" applyFont="1" applyFill="1" applyBorder="1" applyAlignment="1" applyProtection="1">
      <alignment horizontal="center" vertical="center" wrapText="1"/>
      <protection hidden="1"/>
    </xf>
    <xf numFmtId="0" fontId="27" fillId="18" borderId="0" xfId="0" applyFont="1" applyFill="1" applyAlignment="1" applyProtection="1">
      <alignment horizontal="center" vertical="center" wrapText="1"/>
      <protection hidden="1"/>
    </xf>
    <xf numFmtId="0" fontId="27" fillId="18" borderId="38" xfId="0" applyFont="1" applyFill="1" applyBorder="1" applyAlignment="1" applyProtection="1">
      <alignment horizontal="center" vertical="center" wrapText="1"/>
      <protection hidden="1"/>
    </xf>
    <xf numFmtId="0" fontId="27" fillId="18" borderId="47" xfId="0" applyFont="1" applyFill="1" applyBorder="1" applyAlignment="1" applyProtection="1">
      <alignment horizontal="center" vertical="center" wrapText="1"/>
      <protection hidden="1"/>
    </xf>
    <xf numFmtId="0" fontId="27" fillId="18" borderId="29" xfId="0" applyFont="1" applyFill="1" applyBorder="1" applyAlignment="1" applyProtection="1">
      <alignment horizontal="center" vertical="center" wrapText="1"/>
      <protection hidden="1"/>
    </xf>
    <xf numFmtId="0" fontId="27" fillId="18" borderId="48" xfId="0" applyFont="1" applyFill="1" applyBorder="1" applyAlignment="1" applyProtection="1">
      <alignment horizontal="center" vertical="center" wrapText="1"/>
      <protection hidden="1"/>
    </xf>
    <xf numFmtId="0" fontId="0" fillId="12" borderId="52" xfId="0" applyFill="1" applyBorder="1" applyAlignment="1" applyProtection="1">
      <alignment horizontal="center" vertical="center"/>
      <protection locked="0" hidden="1"/>
    </xf>
    <xf numFmtId="0" fontId="0" fillId="12" borderId="29" xfId="0" applyFill="1" applyBorder="1" applyAlignment="1" applyProtection="1">
      <alignment horizontal="right"/>
      <protection hidden="1"/>
    </xf>
    <xf numFmtId="0" fontId="9" fillId="12" borderId="0" xfId="0" applyFont="1" applyFill="1" applyAlignment="1" applyProtection="1">
      <alignment horizontal="center" vertical="center"/>
      <protection hidden="1"/>
    </xf>
    <xf numFmtId="164" fontId="62" fillId="18" borderId="0" xfId="0" applyNumberFormat="1" applyFont="1" applyFill="1" applyAlignment="1" applyProtection="1">
      <alignment horizontal="center" vertical="top" textRotation="180"/>
      <protection locked="0" hidden="1"/>
    </xf>
    <xf numFmtId="0" fontId="9" fillId="11" borderId="29" xfId="0" applyFont="1" applyFill="1" applyBorder="1" applyAlignment="1" applyProtection="1">
      <alignment horizontal="left" indent="1"/>
      <protection hidden="1"/>
    </xf>
    <xf numFmtId="0" fontId="0" fillId="12" borderId="29" xfId="0" applyFill="1" applyBorder="1" applyAlignment="1" applyProtection="1">
      <alignment horizontal="center"/>
      <protection locked="0" hidden="1"/>
    </xf>
    <xf numFmtId="0" fontId="0" fillId="26" borderId="74" xfId="0" applyFill="1" applyBorder="1" applyAlignment="1" applyProtection="1">
      <alignment horizontal="center"/>
      <protection hidden="1"/>
    </xf>
    <xf numFmtId="0" fontId="0" fillId="24" borderId="74" xfId="0" applyFill="1" applyBorder="1" applyAlignment="1" applyProtection="1">
      <alignment horizontal="center"/>
      <protection locked="0" hidden="1"/>
    </xf>
    <xf numFmtId="164" fontId="62" fillId="18" borderId="0" xfId="0" applyNumberFormat="1" applyFont="1" applyFill="1" applyAlignment="1" applyProtection="1">
      <alignment horizontal="center"/>
      <protection locked="0" hidden="1"/>
    </xf>
    <xf numFmtId="0" fontId="13" fillId="18" borderId="0" xfId="0" applyFont="1" applyFill="1" applyAlignment="1" applyProtection="1">
      <alignment horizontal="center"/>
      <protection hidden="1"/>
    </xf>
    <xf numFmtId="0" fontId="13" fillId="0" borderId="0" xfId="0" applyFont="1" applyAlignment="1" applyProtection="1">
      <alignment horizontal="right" textRotation="90"/>
      <protection hidden="1"/>
    </xf>
    <xf numFmtId="0" fontId="9" fillId="12" borderId="0" xfId="0" applyFont="1" applyFill="1" applyAlignment="1" applyProtection="1">
      <alignment horizontal="center" vertical="center" textRotation="90"/>
      <protection hidden="1"/>
    </xf>
    <xf numFmtId="0" fontId="13" fillId="12" borderId="52" xfId="0" applyFont="1" applyFill="1" applyBorder="1" applyAlignment="1" applyProtection="1">
      <alignment horizontal="center"/>
      <protection locked="0" hidden="1"/>
    </xf>
    <xf numFmtId="0" fontId="13" fillId="18" borderId="74" xfId="0" applyFont="1" applyFill="1" applyBorder="1" applyAlignment="1" applyProtection="1">
      <alignment horizontal="center"/>
      <protection hidden="1"/>
    </xf>
    <xf numFmtId="0" fontId="0" fillId="0" borderId="74" xfId="0" applyBorder="1" applyAlignment="1" applyProtection="1">
      <alignment horizontal="center"/>
      <protection hidden="1"/>
    </xf>
    <xf numFmtId="0" fontId="13" fillId="0" borderId="0" xfId="0" applyFont="1" applyAlignment="1" applyProtection="1">
      <alignment horizontal="left"/>
      <protection hidden="1"/>
    </xf>
    <xf numFmtId="0" fontId="6" fillId="26" borderId="74" xfId="0" applyFont="1" applyFill="1" applyBorder="1" applyAlignment="1" applyProtection="1">
      <alignment horizontal="center" vertical="center"/>
      <protection hidden="1"/>
    </xf>
    <xf numFmtId="164" fontId="18" fillId="24" borderId="44" xfId="0" applyNumberFormat="1" applyFont="1" applyFill="1" applyBorder="1" applyAlignment="1" applyProtection="1">
      <alignment horizontal="center" vertical="center"/>
      <protection locked="0" hidden="1"/>
    </xf>
    <xf numFmtId="0" fontId="70" fillId="0" borderId="74" xfId="0" applyFont="1" applyBorder="1" applyAlignment="1" applyProtection="1">
      <alignment horizontal="center"/>
      <protection hidden="1"/>
    </xf>
    <xf numFmtId="0" fontId="9" fillId="11" borderId="29" xfId="0" applyFont="1" applyFill="1" applyBorder="1" applyAlignment="1" applyProtection="1">
      <alignment horizontal="left" vertical="center"/>
      <protection hidden="1"/>
    </xf>
    <xf numFmtId="164" fontId="62" fillId="18" borderId="0" xfId="0" applyNumberFormat="1" applyFont="1" applyFill="1" applyAlignment="1" applyProtection="1">
      <alignment horizontal="center" textRotation="90"/>
      <protection locked="0" hidden="1"/>
    </xf>
    <xf numFmtId="0" fontId="0" fillId="12" borderId="52" xfId="0" applyFill="1" applyBorder="1" applyAlignment="1" applyProtection="1">
      <alignment horizontal="center"/>
      <protection hidden="1"/>
    </xf>
    <xf numFmtId="164" fontId="64" fillId="18" borderId="0" xfId="0" applyNumberFormat="1" applyFont="1" applyFill="1" applyAlignment="1" applyProtection="1">
      <alignment horizontal="center"/>
      <protection locked="0" hidden="1"/>
    </xf>
    <xf numFmtId="0" fontId="13" fillId="0" borderId="0" xfId="0" applyFont="1" applyAlignment="1" applyProtection="1">
      <alignment horizontal="left" vertical="top" textRotation="180"/>
      <protection hidden="1"/>
    </xf>
    <xf numFmtId="0" fontId="37" fillId="11" borderId="62" xfId="1" applyFont="1" applyFill="1" applyBorder="1" applyAlignment="1" applyProtection="1">
      <alignment horizontal="center" vertical="center"/>
      <protection locked="0" hidden="1"/>
    </xf>
    <xf numFmtId="0" fontId="37" fillId="11" borderId="0" xfId="1" applyFont="1" applyFill="1" applyBorder="1" applyAlignment="1" applyProtection="1">
      <alignment horizontal="center" vertical="center"/>
      <protection locked="0" hidden="1"/>
    </xf>
    <xf numFmtId="0" fontId="40" fillId="0" borderId="0" xfId="8" applyFont="1" applyAlignment="1" applyProtection="1">
      <alignment horizontal="left" wrapText="1" indent="1"/>
      <protection hidden="1"/>
    </xf>
    <xf numFmtId="0" fontId="11" fillId="18" borderId="0" xfId="7" applyFill="1" applyAlignment="1" applyProtection="1">
      <alignment horizontal="center"/>
      <protection hidden="1"/>
    </xf>
    <xf numFmtId="0" fontId="32" fillId="12" borderId="49" xfId="7" applyFont="1" applyFill="1" applyBorder="1" applyAlignment="1" applyProtection="1">
      <alignment horizontal="center" vertical="center"/>
      <protection locked="0" hidden="1"/>
    </xf>
    <xf numFmtId="0" fontId="0" fillId="0" borderId="0" xfId="0" applyAlignment="1">
      <alignment horizontal="center"/>
    </xf>
    <xf numFmtId="0" fontId="13" fillId="18" borderId="0" xfId="0" applyFont="1" applyFill="1" applyAlignment="1" applyProtection="1">
      <alignment horizontal="center"/>
      <protection locked="0" hidden="1"/>
    </xf>
    <xf numFmtId="0" fontId="9" fillId="18" borderId="0" xfId="0" applyFont="1" applyFill="1" applyAlignment="1" applyProtection="1">
      <alignment horizontal="left" vertical="center" indent="1"/>
      <protection hidden="1"/>
    </xf>
    <xf numFmtId="0" fontId="9" fillId="11" borderId="29" xfId="0" applyFont="1" applyFill="1" applyBorder="1" applyAlignment="1" applyProtection="1">
      <alignment horizontal="center" vertical="center"/>
      <protection hidden="1"/>
    </xf>
    <xf numFmtId="164" fontId="13" fillId="17" borderId="29" xfId="0" applyNumberFormat="1" applyFont="1" applyFill="1" applyBorder="1" applyAlignment="1" applyProtection="1">
      <alignment horizontal="center" vertical="center"/>
      <protection hidden="1"/>
    </xf>
    <xf numFmtId="0" fontId="9" fillId="11" borderId="0" xfId="0" applyFont="1" applyFill="1" applyAlignment="1" applyProtection="1">
      <alignment horizontal="left" vertical="center" indent="1"/>
      <protection hidden="1"/>
    </xf>
    <xf numFmtId="0" fontId="13" fillId="12" borderId="29" xfId="0" applyFont="1" applyFill="1" applyBorder="1" applyAlignment="1" applyProtection="1">
      <alignment horizontal="center"/>
      <protection locked="0" hidden="1"/>
    </xf>
    <xf numFmtId="0" fontId="9" fillId="18" borderId="0" xfId="0" applyFont="1" applyFill="1" applyAlignment="1" applyProtection="1">
      <alignment horizontal="center"/>
      <protection hidden="1"/>
    </xf>
    <xf numFmtId="2" fontId="13" fillId="0" borderId="0" xfId="0" applyNumberFormat="1" applyFont="1" applyAlignment="1" applyProtection="1">
      <alignment horizontal="center"/>
      <protection hidden="1"/>
    </xf>
    <xf numFmtId="0" fontId="0" fillId="0" borderId="0" xfId="0" applyAlignment="1" applyProtection="1">
      <alignment horizontal="center" vertical="center" wrapText="1"/>
      <protection hidden="1"/>
    </xf>
    <xf numFmtId="0" fontId="90" fillId="0" borderId="0" xfId="1" applyFont="1" applyAlignment="1" applyProtection="1">
      <alignment horizontal="center" vertical="center" wrapText="1"/>
      <protection locked="0" hidden="1"/>
    </xf>
    <xf numFmtId="0" fontId="13" fillId="12" borderId="77" xfId="0" applyFont="1" applyFill="1" applyBorder="1" applyAlignment="1" applyProtection="1">
      <alignment horizontal="center"/>
      <protection hidden="1"/>
    </xf>
    <xf numFmtId="0" fontId="13" fillId="12" borderId="78" xfId="0" applyFont="1" applyFill="1" applyBorder="1" applyAlignment="1" applyProtection="1">
      <alignment horizontal="center"/>
      <protection hidden="1"/>
    </xf>
    <xf numFmtId="0" fontId="13" fillId="12" borderId="79" xfId="0" applyFont="1" applyFill="1" applyBorder="1" applyAlignment="1" applyProtection="1">
      <alignment horizontal="center"/>
      <protection hidden="1"/>
    </xf>
    <xf numFmtId="0" fontId="9" fillId="11" borderId="29" xfId="0" applyFont="1" applyFill="1" applyBorder="1" applyAlignment="1" applyProtection="1">
      <alignment horizontal="left" vertical="center" indent="1"/>
      <protection hidden="1"/>
    </xf>
    <xf numFmtId="0" fontId="13" fillId="12" borderId="29" xfId="0" applyFont="1" applyFill="1" applyBorder="1" applyAlignment="1" applyProtection="1">
      <alignment horizontal="center" vertical="center"/>
      <protection hidden="1"/>
    </xf>
    <xf numFmtId="0" fontId="9" fillId="11" borderId="0" xfId="0" applyFont="1" applyFill="1" applyAlignment="1" applyProtection="1">
      <alignment horizontal="left" vertical="center"/>
      <protection hidden="1"/>
    </xf>
    <xf numFmtId="0" fontId="9" fillId="11" borderId="54" xfId="0" applyFont="1" applyFill="1" applyBorder="1" applyAlignment="1" applyProtection="1">
      <alignment horizontal="left" vertical="center"/>
      <protection hidden="1"/>
    </xf>
    <xf numFmtId="0" fontId="13" fillId="12" borderId="53" xfId="0" applyFont="1" applyFill="1" applyBorder="1" applyAlignment="1" applyProtection="1">
      <alignment horizontal="center"/>
      <protection locked="0" hidden="1"/>
    </xf>
    <xf numFmtId="0" fontId="13" fillId="12" borderId="54" xfId="0" applyFont="1" applyFill="1" applyBorder="1" applyAlignment="1" applyProtection="1">
      <alignment horizontal="center"/>
      <protection locked="0" hidden="1"/>
    </xf>
    <xf numFmtId="0" fontId="13" fillId="12" borderId="75" xfId="0" applyFont="1" applyFill="1" applyBorder="1" applyAlignment="1" applyProtection="1">
      <alignment horizontal="center"/>
      <protection locked="0" hidden="1"/>
    </xf>
    <xf numFmtId="0" fontId="13" fillId="12" borderId="76" xfId="0" applyFont="1" applyFill="1" applyBorder="1" applyAlignment="1" applyProtection="1">
      <alignment horizontal="center"/>
      <protection locked="0" hidden="1"/>
    </xf>
    <xf numFmtId="0" fontId="13" fillId="0" borderId="0" xfId="0" applyFont="1" applyAlignment="1" applyProtection="1">
      <alignment horizontal="center" vertical="center" wrapText="1"/>
      <protection hidden="1"/>
    </xf>
    <xf numFmtId="0" fontId="13" fillId="12" borderId="53" xfId="0" applyFont="1" applyFill="1" applyBorder="1" applyAlignment="1" applyProtection="1">
      <alignment horizontal="center" vertical="center" wrapText="1"/>
      <protection locked="0" hidden="1"/>
    </xf>
    <xf numFmtId="0" fontId="13" fillId="12" borderId="0" xfId="0" applyFont="1" applyFill="1" applyAlignment="1" applyProtection="1">
      <alignment horizontal="center" vertical="center" wrapText="1"/>
      <protection locked="0" hidden="1"/>
    </xf>
    <xf numFmtId="0" fontId="13" fillId="12" borderId="54" xfId="0" applyFont="1" applyFill="1" applyBorder="1" applyAlignment="1" applyProtection="1">
      <alignment horizontal="center" vertical="center" wrapText="1"/>
      <protection locked="0" hidden="1"/>
    </xf>
    <xf numFmtId="0" fontId="13" fillId="12" borderId="55" xfId="0" applyFont="1" applyFill="1" applyBorder="1" applyAlignment="1" applyProtection="1">
      <alignment horizontal="center" vertical="center" wrapText="1"/>
      <protection locked="0" hidden="1"/>
    </xf>
    <xf numFmtId="0" fontId="13" fillId="12" borderId="56" xfId="0" applyFont="1" applyFill="1" applyBorder="1" applyAlignment="1" applyProtection="1">
      <alignment horizontal="center" vertical="center" wrapText="1"/>
      <protection locked="0" hidden="1"/>
    </xf>
    <xf numFmtId="0" fontId="13" fillId="12" borderId="57" xfId="0" applyFont="1" applyFill="1" applyBorder="1" applyAlignment="1" applyProtection="1">
      <alignment horizontal="center" vertical="center" wrapText="1"/>
      <protection locked="0" hidden="1"/>
    </xf>
    <xf numFmtId="43" fontId="13" fillId="12" borderId="30" xfId="19" applyFont="1" applyFill="1" applyBorder="1" applyAlignment="1" applyProtection="1">
      <alignment horizontal="right"/>
      <protection hidden="1"/>
    </xf>
    <xf numFmtId="43" fontId="13" fillId="12" borderId="8" xfId="19" applyFont="1" applyFill="1" applyBorder="1" applyAlignment="1" applyProtection="1">
      <alignment horizontal="right"/>
      <protection hidden="1"/>
    </xf>
    <xf numFmtId="0" fontId="18" fillId="18" borderId="0" xfId="0" applyFont="1" applyFill="1" applyAlignment="1" applyProtection="1">
      <alignment horizontal="center" vertical="center"/>
      <protection hidden="1"/>
    </xf>
    <xf numFmtId="0" fontId="77" fillId="11" borderId="62" xfId="1" applyFont="1" applyFill="1" applyBorder="1" applyAlignment="1" applyProtection="1">
      <alignment horizontal="center" vertical="center"/>
      <protection hidden="1"/>
    </xf>
    <xf numFmtId="0" fontId="77" fillId="11" borderId="0" xfId="1" applyFont="1" applyFill="1" applyBorder="1" applyAlignment="1" applyProtection="1">
      <alignment horizontal="center" vertical="center"/>
      <protection hidden="1"/>
    </xf>
    <xf numFmtId="0" fontId="18" fillId="18" borderId="0" xfId="0" applyFont="1" applyFill="1" applyAlignment="1" applyProtection="1">
      <alignment horizontal="left" vertical="center"/>
      <protection hidden="1"/>
    </xf>
    <xf numFmtId="0" fontId="6" fillId="18" borderId="0" xfId="0" applyFont="1" applyFill="1" applyAlignment="1" applyProtection="1">
      <alignment horizontal="center" vertical="center"/>
      <protection hidden="1"/>
    </xf>
    <xf numFmtId="0" fontId="82" fillId="11" borderId="0" xfId="7" applyFont="1" applyFill="1" applyAlignment="1" applyProtection="1">
      <alignment horizontal="left" vertical="center"/>
      <protection hidden="1"/>
    </xf>
    <xf numFmtId="0" fontId="71" fillId="0" borderId="0" xfId="8" applyFont="1" applyAlignment="1" applyProtection="1">
      <alignment horizontal="left" wrapText="1" indent="1"/>
      <protection hidden="1"/>
    </xf>
    <xf numFmtId="0" fontId="13" fillId="34" borderId="63" xfId="0" applyFont="1" applyFill="1" applyBorder="1" applyAlignment="1" applyProtection="1">
      <alignment horizontal="center"/>
      <protection hidden="1"/>
    </xf>
    <xf numFmtId="0" fontId="13" fillId="34" borderId="58" xfId="0" applyFont="1" applyFill="1" applyBorder="1" applyAlignment="1" applyProtection="1">
      <alignment horizontal="center"/>
      <protection hidden="1"/>
    </xf>
    <xf numFmtId="0" fontId="13" fillId="34" borderId="66" xfId="0" applyFont="1" applyFill="1" applyBorder="1" applyAlignment="1" applyProtection="1">
      <alignment horizontal="center"/>
      <protection hidden="1"/>
    </xf>
    <xf numFmtId="0" fontId="16" fillId="0" borderId="0" xfId="0" applyFont="1" applyAlignment="1" applyProtection="1">
      <alignment horizontal="center" vertical="center" textRotation="90" wrapText="1"/>
      <protection locked="0" hidden="1"/>
    </xf>
    <xf numFmtId="0" fontId="20" fillId="0" borderId="0" xfId="0" applyFont="1" applyAlignment="1" applyProtection="1">
      <alignment horizontal="center" vertical="center" textRotation="90"/>
      <protection hidden="1"/>
    </xf>
    <xf numFmtId="0" fontId="16" fillId="0" borderId="0" xfId="0" applyFont="1" applyAlignment="1" applyProtection="1">
      <alignment horizontal="center" vertical="center" textRotation="90"/>
      <protection hidden="1"/>
    </xf>
    <xf numFmtId="0" fontId="0" fillId="0" borderId="3" xfId="0" applyBorder="1" applyAlignment="1" applyProtection="1">
      <alignment horizontal="center"/>
      <protection hidden="1"/>
    </xf>
    <xf numFmtId="0" fontId="0" fillId="0" borderId="18" xfId="0" applyBorder="1" applyAlignment="1" applyProtection="1">
      <alignment horizontal="center"/>
      <protection hidden="1"/>
    </xf>
    <xf numFmtId="0" fontId="0" fillId="0" borderId="19" xfId="0" applyBorder="1" applyAlignment="1" applyProtection="1">
      <alignment horizontal="center"/>
      <protection hidden="1"/>
    </xf>
    <xf numFmtId="0" fontId="0" fillId="0" borderId="96" xfId="0" applyBorder="1" applyAlignment="1" applyProtection="1">
      <alignment horizontal="center"/>
      <protection hidden="1"/>
    </xf>
    <xf numFmtId="0" fontId="73" fillId="12" borderId="0" xfId="0" applyFont="1" applyFill="1" applyAlignment="1" applyProtection="1">
      <alignment horizontal="left"/>
      <protection hidden="1"/>
    </xf>
    <xf numFmtId="0" fontId="20" fillId="0" borderId="0" xfId="0" applyFont="1" applyAlignment="1" applyProtection="1">
      <alignment horizontal="center" vertical="center"/>
      <protection hidden="1"/>
    </xf>
    <xf numFmtId="0" fontId="73" fillId="12" borderId="0" xfId="0" applyFont="1" applyFill="1" applyAlignment="1" applyProtection="1">
      <alignment horizontal="left" vertical="center"/>
      <protection hidden="1"/>
    </xf>
    <xf numFmtId="0" fontId="69" fillId="11" borderId="62" xfId="1" applyFont="1" applyFill="1" applyBorder="1" applyAlignment="1" applyProtection="1">
      <alignment horizontal="center" vertical="center"/>
      <protection hidden="1"/>
    </xf>
    <xf numFmtId="0" fontId="69" fillId="11" borderId="0" xfId="1" applyFont="1" applyFill="1" applyBorder="1" applyAlignment="1" applyProtection="1">
      <alignment horizontal="center" vertical="center"/>
      <protection hidden="1"/>
    </xf>
    <xf numFmtId="0" fontId="91" fillId="11"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73" fillId="17" borderId="0" xfId="0" applyFont="1" applyFill="1" applyAlignment="1" applyProtection="1">
      <alignment horizontal="left" vertical="center"/>
      <protection hidden="1"/>
    </xf>
    <xf numFmtId="0" fontId="0" fillId="0" borderId="0" xfId="0"/>
    <xf numFmtId="0" fontId="70" fillId="12" borderId="0" xfId="0" applyFont="1" applyFill="1" applyAlignment="1" applyProtection="1">
      <alignment horizontal="center"/>
      <protection hidden="1"/>
    </xf>
    <xf numFmtId="0" fontId="13" fillId="11" borderId="0" xfId="0" applyFont="1" applyFill="1" applyAlignment="1" applyProtection="1">
      <alignment horizontal="left"/>
      <protection hidden="1"/>
    </xf>
    <xf numFmtId="2" fontId="13" fillId="12" borderId="0" xfId="21" applyNumberFormat="1" applyFont="1" applyFill="1" applyAlignment="1" applyProtection="1">
      <alignment horizontal="center" vertical="center"/>
      <protection hidden="1"/>
    </xf>
    <xf numFmtId="1" fontId="39" fillId="12" borderId="0" xfId="0" applyNumberFormat="1" applyFont="1" applyFill="1" applyAlignment="1" applyProtection="1">
      <alignment horizontal="center" vertical="center"/>
      <protection hidden="1"/>
    </xf>
    <xf numFmtId="0" fontId="0" fillId="0" borderId="0" xfId="0" applyAlignment="1">
      <alignment horizontal="center" vertical="center" wrapText="1"/>
    </xf>
    <xf numFmtId="14"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70" fillId="12" borderId="0" xfId="0" applyFont="1" applyFill="1" applyAlignment="1" applyProtection="1">
      <alignment horizontal="left"/>
      <protection hidden="1"/>
    </xf>
    <xf numFmtId="0" fontId="13" fillId="11" borderId="0" xfId="0" applyFont="1" applyFill="1" applyAlignment="1" applyProtection="1">
      <alignment horizontal="left" vertical="center" wrapText="1"/>
      <protection hidden="1"/>
    </xf>
    <xf numFmtId="2" fontId="13" fillId="12" borderId="0" xfId="0" applyNumberFormat="1" applyFont="1" applyFill="1" applyAlignment="1" applyProtection="1">
      <alignment horizontal="center" vertical="center"/>
      <protection hidden="1"/>
    </xf>
    <xf numFmtId="0" fontId="7" fillId="0" borderId="0" xfId="1" applyFill="1" applyBorder="1" applyAlignment="1" applyProtection="1">
      <alignment horizontal="center" vertical="center" wrapText="1"/>
      <protection hidden="1"/>
    </xf>
    <xf numFmtId="0" fontId="72" fillId="12" borderId="0" xfId="1" applyFont="1" applyFill="1" applyAlignment="1" applyProtection="1">
      <alignment horizontal="center"/>
      <protection hidden="1"/>
    </xf>
    <xf numFmtId="0" fontId="29"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21" fillId="0" borderId="0" xfId="9" applyFont="1" applyAlignment="1" applyProtection="1">
      <alignment horizontal="right" vertical="center"/>
      <protection hidden="1"/>
    </xf>
    <xf numFmtId="0" fontId="77" fillId="11" borderId="0" xfId="1" applyFont="1" applyFill="1" applyAlignment="1" applyProtection="1">
      <alignment horizontal="center" vertical="center"/>
      <protection hidden="1"/>
    </xf>
    <xf numFmtId="0" fontId="29" fillId="0" borderId="0" xfId="0" applyFont="1" applyAlignment="1" applyProtection="1">
      <alignment horizontal="center"/>
      <protection hidden="1"/>
    </xf>
    <xf numFmtId="0" fontId="30" fillId="12" borderId="0" xfId="9" applyFont="1" applyFill="1" applyAlignment="1" applyProtection="1">
      <alignment horizontal="center" vertical="center"/>
      <protection hidden="1"/>
    </xf>
    <xf numFmtId="0" fontId="9" fillId="18" borderId="0" xfId="0" applyFont="1" applyFill="1" applyAlignment="1" applyProtection="1">
      <alignment horizontal="left"/>
      <protection hidden="1"/>
    </xf>
    <xf numFmtId="0" fontId="0" fillId="0" borderId="31" xfId="0" applyBorder="1" applyAlignment="1" applyProtection="1">
      <alignment horizontal="center"/>
      <protection hidden="1"/>
    </xf>
    <xf numFmtId="0" fontId="0" fillId="18" borderId="31" xfId="0" applyFill="1" applyBorder="1" applyAlignment="1" applyProtection="1">
      <alignment horizontal="center"/>
      <protection hidden="1"/>
    </xf>
    <xf numFmtId="0" fontId="6" fillId="21" borderId="31" xfId="0" applyFont="1" applyFill="1" applyBorder="1" applyAlignment="1" applyProtection="1">
      <alignment horizontal="left"/>
      <protection hidden="1"/>
    </xf>
    <xf numFmtId="0" fontId="46" fillId="0" borderId="30" xfId="0" applyFont="1" applyBorder="1" applyAlignment="1" applyProtection="1">
      <alignment horizontal="center" vertical="center"/>
      <protection hidden="1"/>
    </xf>
    <xf numFmtId="0" fontId="46" fillId="0" borderId="8" xfId="0" applyFont="1" applyBorder="1" applyAlignment="1" applyProtection="1">
      <alignment horizontal="center" vertical="center"/>
      <protection hidden="1"/>
    </xf>
    <xf numFmtId="0" fontId="46" fillId="0" borderId="50" xfId="0" applyFont="1" applyBorder="1" applyAlignment="1" applyProtection="1">
      <alignment horizontal="center" vertical="center"/>
      <protection hidden="1"/>
    </xf>
    <xf numFmtId="0" fontId="19" fillId="21" borderId="31" xfId="0" applyFont="1" applyFill="1" applyBorder="1" applyAlignment="1" applyProtection="1">
      <alignment horizontal="center" vertical="center"/>
      <protection hidden="1"/>
    </xf>
    <xf numFmtId="0" fontId="6" fillId="21" borderId="0" xfId="0" applyFont="1" applyFill="1" applyAlignment="1" applyProtection="1">
      <alignment horizontal="left"/>
      <protection hidden="1"/>
    </xf>
    <xf numFmtId="0" fontId="6" fillId="21" borderId="30" xfId="0" applyFont="1" applyFill="1" applyBorder="1" applyAlignment="1" applyProtection="1">
      <alignment horizontal="center" vertical="center"/>
      <protection hidden="1"/>
    </xf>
    <xf numFmtId="0" fontId="6" fillId="21" borderId="8" xfId="0" applyFont="1" applyFill="1" applyBorder="1" applyAlignment="1" applyProtection="1">
      <alignment horizontal="center" vertical="center"/>
      <protection hidden="1"/>
    </xf>
    <xf numFmtId="164" fontId="18" fillId="18" borderId="8" xfId="0" applyNumberFormat="1" applyFont="1" applyFill="1" applyBorder="1" applyAlignment="1" applyProtection="1">
      <alignment horizontal="center" vertical="center"/>
      <protection locked="0" hidden="1"/>
    </xf>
    <xf numFmtId="164" fontId="18" fillId="18" borderId="50" xfId="0" applyNumberFormat="1" applyFont="1" applyFill="1" applyBorder="1" applyAlignment="1" applyProtection="1">
      <alignment horizontal="center" vertical="center"/>
      <protection locked="0" hidden="1"/>
    </xf>
    <xf numFmtId="164" fontId="18" fillId="18" borderId="12" xfId="0" applyNumberFormat="1" applyFont="1" applyFill="1" applyBorder="1" applyAlignment="1" applyProtection="1">
      <alignment horizontal="center" vertical="center" textRotation="90"/>
      <protection locked="0" hidden="1"/>
    </xf>
    <xf numFmtId="164" fontId="18" fillId="18" borderId="6" xfId="0" applyNumberFormat="1" applyFont="1" applyFill="1" applyBorder="1" applyAlignment="1" applyProtection="1">
      <alignment horizontal="center" vertical="center" textRotation="90"/>
      <protection locked="0" hidden="1"/>
    </xf>
    <xf numFmtId="0" fontId="6" fillId="21" borderId="6" xfId="0" applyFont="1" applyFill="1" applyBorder="1" applyAlignment="1" applyProtection="1">
      <alignment horizontal="center" vertical="center" textRotation="90"/>
      <protection hidden="1"/>
    </xf>
    <xf numFmtId="0" fontId="6" fillId="21" borderId="14" xfId="0" applyFont="1" applyFill="1" applyBorder="1" applyAlignment="1" applyProtection="1">
      <alignment horizontal="center" vertical="center" textRotation="90"/>
      <protection hidden="1"/>
    </xf>
    <xf numFmtId="0" fontId="0" fillId="18" borderId="29" xfId="0" applyFill="1" applyBorder="1" applyAlignment="1" applyProtection="1">
      <alignment horizontal="center"/>
      <protection hidden="1"/>
    </xf>
    <xf numFmtId="0" fontId="74" fillId="21" borderId="0" xfId="0" applyFont="1" applyFill="1" applyAlignment="1" applyProtection="1">
      <alignment horizontal="center" vertical="center" textRotation="180"/>
      <protection hidden="1"/>
    </xf>
    <xf numFmtId="0" fontId="0" fillId="18" borderId="31" xfId="0" applyFill="1" applyBorder="1" applyAlignment="1" applyProtection="1">
      <alignment horizontal="center" vertical="center"/>
      <protection hidden="1"/>
    </xf>
    <xf numFmtId="49" fontId="12" fillId="0" borderId="43" xfId="0" applyNumberFormat="1" applyFont="1" applyBorder="1" applyAlignment="1" applyProtection="1">
      <alignment horizontal="center" vertical="center" wrapText="1"/>
      <protection hidden="1"/>
    </xf>
    <xf numFmtId="49" fontId="12" fillId="0" borderId="44" xfId="0" applyNumberFormat="1" applyFont="1" applyBorder="1" applyAlignment="1" applyProtection="1">
      <alignment horizontal="center" vertical="center" wrapText="1"/>
      <protection hidden="1"/>
    </xf>
    <xf numFmtId="49" fontId="12" fillId="0" borderId="45" xfId="0" applyNumberFormat="1" applyFont="1" applyBorder="1" applyAlignment="1" applyProtection="1">
      <alignment horizontal="center" vertical="center" wrapText="1"/>
      <protection hidden="1"/>
    </xf>
    <xf numFmtId="49" fontId="12" fillId="0" borderId="46" xfId="0" applyNumberFormat="1" applyFont="1" applyBorder="1" applyAlignment="1" applyProtection="1">
      <alignment horizontal="center" vertical="center" wrapText="1"/>
      <protection hidden="1"/>
    </xf>
    <xf numFmtId="49" fontId="12" fillId="0" borderId="0" xfId="0" applyNumberFormat="1" applyFont="1" applyAlignment="1" applyProtection="1">
      <alignment horizontal="center" vertical="center" wrapText="1"/>
      <protection hidden="1"/>
    </xf>
    <xf numFmtId="49" fontId="12" fillId="0" borderId="38" xfId="0" applyNumberFormat="1" applyFont="1" applyBorder="1" applyAlignment="1" applyProtection="1">
      <alignment horizontal="center" vertical="center" wrapText="1"/>
      <protection hidden="1"/>
    </xf>
    <xf numFmtId="49" fontId="12" fillId="0" borderId="47" xfId="0" applyNumberFormat="1" applyFont="1" applyBorder="1" applyAlignment="1" applyProtection="1">
      <alignment horizontal="center" vertical="center" wrapText="1"/>
      <protection hidden="1"/>
    </xf>
    <xf numFmtId="49" fontId="12" fillId="0" borderId="29" xfId="0" applyNumberFormat="1" applyFont="1" applyBorder="1" applyAlignment="1" applyProtection="1">
      <alignment horizontal="center" vertical="center" wrapText="1"/>
      <protection hidden="1"/>
    </xf>
    <xf numFmtId="49" fontId="12" fillId="0" borderId="48" xfId="0" applyNumberFormat="1" applyFont="1" applyBorder="1" applyAlignment="1" applyProtection="1">
      <alignment horizontal="center" vertical="center" wrapText="1"/>
      <protection hidden="1"/>
    </xf>
    <xf numFmtId="0" fontId="0" fillId="18" borderId="31" xfId="0" applyFill="1" applyBorder="1" applyAlignment="1" applyProtection="1">
      <alignment horizontal="left"/>
      <protection hidden="1"/>
    </xf>
    <xf numFmtId="0" fontId="6" fillId="21" borderId="31" xfId="0" applyFont="1" applyFill="1" applyBorder="1" applyAlignment="1" applyProtection="1">
      <alignment horizontal="center"/>
      <protection hidden="1"/>
    </xf>
    <xf numFmtId="0" fontId="0" fillId="0" borderId="31" xfId="0" applyBorder="1" applyAlignment="1">
      <alignment horizontal="left"/>
    </xf>
    <xf numFmtId="0" fontId="27" fillId="18" borderId="0" xfId="0" applyFont="1" applyFill="1" applyAlignment="1" applyProtection="1">
      <alignment horizontal="center"/>
      <protection hidden="1"/>
    </xf>
    <xf numFmtId="0" fontId="13" fillId="0" borderId="0" xfId="0" applyFont="1" applyAlignment="1" applyProtection="1">
      <alignment horizontal="left" vertical="top" wrapText="1"/>
      <protection hidden="1"/>
    </xf>
    <xf numFmtId="0" fontId="9" fillId="0" borderId="0" xfId="0" applyFont="1" applyAlignment="1" applyProtection="1">
      <alignment horizontal="left"/>
      <protection hidden="1"/>
    </xf>
    <xf numFmtId="2" fontId="79" fillId="0" borderId="0" xfId="0" applyNumberFormat="1" applyFont="1" applyAlignment="1" applyProtection="1">
      <alignment horizontal="right" vertical="center"/>
      <protection hidden="1"/>
    </xf>
    <xf numFmtId="0" fontId="79" fillId="0" borderId="0" xfId="0" applyFont="1" applyAlignment="1" applyProtection="1">
      <alignment horizontal="right" vertical="center"/>
      <protection hidden="1"/>
    </xf>
    <xf numFmtId="0" fontId="84" fillId="0" borderId="0" xfId="0" applyFont="1" applyAlignment="1" applyProtection="1">
      <alignment horizontal="center" vertical="center"/>
      <protection hidden="1"/>
    </xf>
    <xf numFmtId="0" fontId="46" fillId="0" borderId="0" xfId="0" applyFont="1" applyAlignment="1" applyProtection="1">
      <alignment horizontal="center" vertical="center"/>
      <protection hidden="1"/>
    </xf>
    <xf numFmtId="0" fontId="0" fillId="0" borderId="31" xfId="0" applyBorder="1" applyAlignment="1">
      <alignment horizontal="right"/>
    </xf>
    <xf numFmtId="0" fontId="0" fillId="0" borderId="82"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21" fillId="0" borderId="0" xfId="0" applyFont="1" applyAlignment="1" applyProtection="1">
      <alignment horizontal="center"/>
      <protection hidden="1"/>
    </xf>
    <xf numFmtId="0" fontId="21" fillId="0" borderId="0" xfId="0" applyFont="1" applyAlignment="1" applyProtection="1">
      <alignment horizontal="center" wrapText="1"/>
      <protection hidden="1"/>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914">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92D050"/>
        </patternFill>
      </fill>
      <border>
        <vertical/>
        <horizontal/>
      </border>
    </dxf>
    <dxf>
      <fill>
        <patternFill patternType="none">
          <bgColor auto="1"/>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fill>
        <patternFill patternType="none">
          <bgColor auto="1"/>
        </patternFill>
      </fill>
    </dxf>
    <dxf>
      <font>
        <color rgb="FF9C0006"/>
      </font>
      <fill>
        <patternFill>
          <bgColor rgb="FFFFC7CE"/>
        </patternFill>
      </fill>
    </dxf>
    <dxf>
      <fill>
        <patternFill>
          <bgColor theme="6" tint="0.59996337778862885"/>
        </patternFill>
      </fill>
    </dxf>
    <dxf>
      <font>
        <b/>
        <i val="0"/>
        <color rgb="FFFFFF00"/>
      </font>
      <fill>
        <patternFill>
          <bgColor rgb="FFFF0000"/>
        </patternFill>
      </fill>
    </dxf>
    <dxf>
      <font>
        <color theme="0" tint="-0.499984740745262"/>
      </font>
    </dxf>
    <dxf>
      <font>
        <b/>
        <i val="0"/>
        <color rgb="FFFFFF00"/>
      </font>
      <fill>
        <patternFill>
          <bgColor rgb="FFFF0000"/>
        </patternFill>
      </fill>
    </dxf>
    <dxf>
      <font>
        <color theme="0" tint="-0.24994659260841701"/>
      </font>
    </dxf>
    <dxf>
      <fill>
        <patternFill>
          <bgColor theme="3" tint="0.39994506668294322"/>
        </patternFill>
      </fill>
    </dxf>
    <dxf>
      <font>
        <color theme="0" tint="-0.1499679555650502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ont>
        <color auto="1"/>
      </font>
      <fill>
        <patternFill>
          <bgColor rgb="FF92D050"/>
        </patternFill>
      </fill>
    </dxf>
    <dxf>
      <font>
        <color auto="1"/>
      </font>
      <fill>
        <patternFill>
          <bgColor rgb="FF92D050"/>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indexed="17"/>
      </font>
      <fill>
        <patternFill>
          <bgColor indexed="42"/>
        </patternFill>
      </fill>
    </dxf>
    <dxf>
      <font>
        <color indexed="20"/>
      </font>
      <fill>
        <patternFill>
          <bgColor indexed="45"/>
        </patternFill>
      </fill>
    </dxf>
    <dxf>
      <fill>
        <patternFill>
          <bgColor rgb="FFFFFF00"/>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color theme="0"/>
      </font>
      <fill>
        <patternFill>
          <bgColor theme="0"/>
        </patternFill>
      </fill>
    </dxf>
    <dxf>
      <font>
        <color theme="0"/>
      </font>
      <fill>
        <patternFill>
          <bgColor theme="3"/>
        </patternFill>
      </fill>
    </dxf>
    <dxf>
      <font>
        <color theme="0"/>
      </font>
      <fill>
        <patternFill>
          <bgColor theme="0"/>
        </patternFill>
      </fill>
    </dxf>
    <dxf>
      <font>
        <color theme="0"/>
      </font>
      <fill>
        <patternFill>
          <bgColor theme="3"/>
        </patternFill>
      </fill>
    </dxf>
    <dxf>
      <font>
        <color theme="0"/>
      </font>
      <fill>
        <patternFill>
          <bgColor theme="0"/>
        </patternFill>
      </fill>
      <border>
        <bottom/>
      </border>
    </dxf>
    <dxf>
      <font>
        <strike val="0"/>
        <color theme="1"/>
      </font>
    </dxf>
    <dxf>
      <font>
        <strike val="0"/>
        <color theme="1"/>
      </font>
    </dxf>
    <dxf>
      <font>
        <strike val="0"/>
        <color theme="0"/>
      </font>
      <fill>
        <patternFill>
          <bgColor theme="0"/>
        </patternFill>
      </fill>
      <border>
        <bottom/>
      </border>
    </dxf>
    <dxf>
      <font>
        <color theme="1"/>
      </font>
    </dxf>
    <dxf>
      <font>
        <b/>
        <i val="0"/>
        <color theme="1"/>
      </font>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REF!"/>
</file>

<file path=xl/ctrlProps/ctrlProp17.xml><?xml version="1.0" encoding="utf-8"?>
<formControlPr xmlns="http://schemas.microsoft.com/office/spreadsheetml/2009/9/main" objectType="Radio" checked="Checked" firstButton="1" fmlaLink="kombinace_2!$V$1"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CheckBox" fmlaLink="#REF!"/>
</file>

<file path=xl/ctrlProps/ctrlProp20.xml><?xml version="1.0" encoding="utf-8"?>
<formControlPr xmlns="http://schemas.microsoft.com/office/spreadsheetml/2009/9/main" objectType="CheckBox" fmlaLink="kombinace_2!$H$1" lockText="1"/>
</file>

<file path=xl/ctrlProps/ctrlProp21.xml><?xml version="1.0" encoding="utf-8"?>
<formControlPr xmlns="http://schemas.microsoft.com/office/spreadsheetml/2009/9/main" objectType="CheckBox" fmlaLink="$AQ$13" lockText="1"/>
</file>

<file path=xl/ctrlProps/ctrlProp22.xml><?xml version="1.0" encoding="utf-8"?>
<formControlPr xmlns="http://schemas.microsoft.com/office/spreadsheetml/2009/9/main" objectType="CheckBox" fmlaLink="#REF!" lockText="1"/>
</file>

<file path=xl/ctrlProps/ctrlProp23.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pn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png"/><Relationship Id="rId17" Type="http://schemas.openxmlformats.org/officeDocument/2006/relationships/image" Target="../media/image27.png"/><Relationship Id="rId2" Type="http://schemas.openxmlformats.org/officeDocument/2006/relationships/image" Target="../media/image13.png"/><Relationship Id="rId16" Type="http://schemas.openxmlformats.org/officeDocument/2006/relationships/image" Target="../media/image26.pn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2.png"/><Relationship Id="rId5" Type="http://schemas.openxmlformats.org/officeDocument/2006/relationships/image" Target="../media/image16.jpeg"/><Relationship Id="rId15" Type="http://schemas.openxmlformats.org/officeDocument/2006/relationships/image" Target="../media/image25.pn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40.emf"/><Relationship Id="rId18" Type="http://schemas.openxmlformats.org/officeDocument/2006/relationships/image" Target="../media/image44.emf"/><Relationship Id="rId3" Type="http://schemas.openxmlformats.org/officeDocument/2006/relationships/image" Target="../media/image30.emf"/><Relationship Id="rId21" Type="http://schemas.openxmlformats.org/officeDocument/2006/relationships/image" Target="../media/image47.emf"/><Relationship Id="rId7" Type="http://schemas.openxmlformats.org/officeDocument/2006/relationships/image" Target="../media/image34.emf"/><Relationship Id="rId12" Type="http://schemas.openxmlformats.org/officeDocument/2006/relationships/image" Target="../media/image39.emf"/><Relationship Id="rId17" Type="http://schemas.openxmlformats.org/officeDocument/2006/relationships/image" Target="../media/image3.png"/><Relationship Id="rId25" Type="http://schemas.openxmlformats.org/officeDocument/2006/relationships/image" Target="../media/image51.emf"/><Relationship Id="rId2" Type="http://schemas.openxmlformats.org/officeDocument/2006/relationships/image" Target="../media/image29.emf"/><Relationship Id="rId16" Type="http://schemas.openxmlformats.org/officeDocument/2006/relationships/image" Target="../media/image43.emf"/><Relationship Id="rId20" Type="http://schemas.openxmlformats.org/officeDocument/2006/relationships/image" Target="../media/image46.emf"/><Relationship Id="rId1" Type="http://schemas.openxmlformats.org/officeDocument/2006/relationships/image" Target="../media/image28.emf"/><Relationship Id="rId6" Type="http://schemas.openxmlformats.org/officeDocument/2006/relationships/image" Target="../media/image33.emf"/><Relationship Id="rId11" Type="http://schemas.openxmlformats.org/officeDocument/2006/relationships/image" Target="../media/image38.emf"/><Relationship Id="rId24" Type="http://schemas.openxmlformats.org/officeDocument/2006/relationships/image" Target="../media/image50.emf"/><Relationship Id="rId5" Type="http://schemas.openxmlformats.org/officeDocument/2006/relationships/image" Target="../media/image32.emf"/><Relationship Id="rId15" Type="http://schemas.openxmlformats.org/officeDocument/2006/relationships/image" Target="../media/image42.emf"/><Relationship Id="rId23" Type="http://schemas.openxmlformats.org/officeDocument/2006/relationships/image" Target="../media/image49.emf"/><Relationship Id="rId10" Type="http://schemas.openxmlformats.org/officeDocument/2006/relationships/image" Target="../media/image37.emf"/><Relationship Id="rId19" Type="http://schemas.openxmlformats.org/officeDocument/2006/relationships/image" Target="../media/image45.emf"/><Relationship Id="rId4" Type="http://schemas.openxmlformats.org/officeDocument/2006/relationships/image" Target="../media/image31.emf"/><Relationship Id="rId9" Type="http://schemas.openxmlformats.org/officeDocument/2006/relationships/image" Target="../media/image36.emf"/><Relationship Id="rId14" Type="http://schemas.openxmlformats.org/officeDocument/2006/relationships/image" Target="../media/image41.emf"/><Relationship Id="rId22" Type="http://schemas.openxmlformats.org/officeDocument/2006/relationships/image" Target="../media/image48.emf"/></Relationships>
</file>

<file path=xl/drawings/_rels/drawing17.xml.rels><?xml version="1.0" encoding="UTF-8" standalone="yes"?>
<Relationships xmlns="http://schemas.openxmlformats.org/package/2006/relationships"><Relationship Id="rId13" Type="http://schemas.openxmlformats.org/officeDocument/2006/relationships/image" Target="../media/image88.jpeg"/><Relationship Id="rId18" Type="http://schemas.openxmlformats.org/officeDocument/2006/relationships/image" Target="../media/image93.jpeg"/><Relationship Id="rId26" Type="http://schemas.openxmlformats.org/officeDocument/2006/relationships/image" Target="../media/image101.jpeg"/><Relationship Id="rId3" Type="http://schemas.openxmlformats.org/officeDocument/2006/relationships/image" Target="../media/image78.jpeg"/><Relationship Id="rId21" Type="http://schemas.openxmlformats.org/officeDocument/2006/relationships/image" Target="../media/image96.jpeg"/><Relationship Id="rId34" Type="http://schemas.openxmlformats.org/officeDocument/2006/relationships/image" Target="../media/image5.png"/><Relationship Id="rId7" Type="http://schemas.openxmlformats.org/officeDocument/2006/relationships/image" Target="../media/image82.jpeg"/><Relationship Id="rId12" Type="http://schemas.openxmlformats.org/officeDocument/2006/relationships/image" Target="../media/image87.jpeg"/><Relationship Id="rId17" Type="http://schemas.openxmlformats.org/officeDocument/2006/relationships/image" Target="../media/image92.jpeg"/><Relationship Id="rId25" Type="http://schemas.openxmlformats.org/officeDocument/2006/relationships/image" Target="../media/image100.jpeg"/><Relationship Id="rId33" Type="http://schemas.openxmlformats.org/officeDocument/2006/relationships/image" Target="../media/image108.jpeg"/><Relationship Id="rId2" Type="http://schemas.openxmlformats.org/officeDocument/2006/relationships/image" Target="../media/image77.jpeg"/><Relationship Id="rId16" Type="http://schemas.openxmlformats.org/officeDocument/2006/relationships/image" Target="../media/image91.jpeg"/><Relationship Id="rId20" Type="http://schemas.openxmlformats.org/officeDocument/2006/relationships/image" Target="../media/image95.jpeg"/><Relationship Id="rId29" Type="http://schemas.openxmlformats.org/officeDocument/2006/relationships/image" Target="../media/image104.jpeg"/><Relationship Id="rId1" Type="http://schemas.openxmlformats.org/officeDocument/2006/relationships/image" Target="../media/image76.jpeg"/><Relationship Id="rId6" Type="http://schemas.openxmlformats.org/officeDocument/2006/relationships/image" Target="../media/image81.jpeg"/><Relationship Id="rId11" Type="http://schemas.openxmlformats.org/officeDocument/2006/relationships/image" Target="../media/image86.jpeg"/><Relationship Id="rId24" Type="http://schemas.openxmlformats.org/officeDocument/2006/relationships/image" Target="../media/image99.jpeg"/><Relationship Id="rId32" Type="http://schemas.openxmlformats.org/officeDocument/2006/relationships/image" Target="../media/image107.jpeg"/><Relationship Id="rId5" Type="http://schemas.openxmlformats.org/officeDocument/2006/relationships/image" Target="../media/image80.jpeg"/><Relationship Id="rId15" Type="http://schemas.openxmlformats.org/officeDocument/2006/relationships/image" Target="../media/image90.jpeg"/><Relationship Id="rId23" Type="http://schemas.openxmlformats.org/officeDocument/2006/relationships/image" Target="../media/image98.jpeg"/><Relationship Id="rId28" Type="http://schemas.openxmlformats.org/officeDocument/2006/relationships/image" Target="../media/image103.jpeg"/><Relationship Id="rId10" Type="http://schemas.openxmlformats.org/officeDocument/2006/relationships/image" Target="../media/image85.jpeg"/><Relationship Id="rId19" Type="http://schemas.openxmlformats.org/officeDocument/2006/relationships/image" Target="../media/image94.jpeg"/><Relationship Id="rId31" Type="http://schemas.openxmlformats.org/officeDocument/2006/relationships/image" Target="../media/image106.jpeg"/><Relationship Id="rId4" Type="http://schemas.openxmlformats.org/officeDocument/2006/relationships/image" Target="../media/image79.jpeg"/><Relationship Id="rId9" Type="http://schemas.openxmlformats.org/officeDocument/2006/relationships/image" Target="../media/image84.jpeg"/><Relationship Id="rId14" Type="http://schemas.openxmlformats.org/officeDocument/2006/relationships/image" Target="../media/image89.jpeg"/><Relationship Id="rId22" Type="http://schemas.openxmlformats.org/officeDocument/2006/relationships/image" Target="../media/image97.jpeg"/><Relationship Id="rId27" Type="http://schemas.openxmlformats.org/officeDocument/2006/relationships/image" Target="../media/image102.jpeg"/><Relationship Id="rId30" Type="http://schemas.openxmlformats.org/officeDocument/2006/relationships/image" Target="../media/image105.jpeg"/><Relationship Id="rId35" Type="http://schemas.openxmlformats.org/officeDocument/2006/relationships/image" Target="../media/image109.png"/><Relationship Id="rId8" Type="http://schemas.openxmlformats.org/officeDocument/2006/relationships/image" Target="../media/image83.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117.emf"/><Relationship Id="rId3" Type="http://schemas.openxmlformats.org/officeDocument/2006/relationships/image" Target="../media/image112.emf"/><Relationship Id="rId7" Type="http://schemas.openxmlformats.org/officeDocument/2006/relationships/image" Target="../media/image116.emf"/><Relationship Id="rId2" Type="http://schemas.openxmlformats.org/officeDocument/2006/relationships/image" Target="../media/image111.emf"/><Relationship Id="rId1" Type="http://schemas.openxmlformats.org/officeDocument/2006/relationships/image" Target="../media/image110.emf"/><Relationship Id="rId6" Type="http://schemas.openxmlformats.org/officeDocument/2006/relationships/image" Target="../media/image115.emf"/><Relationship Id="rId5" Type="http://schemas.openxmlformats.org/officeDocument/2006/relationships/image" Target="../media/image114.emf"/><Relationship Id="rId4" Type="http://schemas.openxmlformats.org/officeDocument/2006/relationships/image" Target="../media/image113.emf"/><Relationship Id="rId9" Type="http://schemas.openxmlformats.org/officeDocument/2006/relationships/image" Target="../media/image118.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12.emf"/><Relationship Id="rId7" Type="http://schemas.openxmlformats.org/officeDocument/2006/relationships/image" Target="../media/image131.emf"/><Relationship Id="rId2" Type="http://schemas.openxmlformats.org/officeDocument/2006/relationships/image" Target="../media/image128.emf"/><Relationship Id="rId1" Type="http://schemas.openxmlformats.org/officeDocument/2006/relationships/image" Target="../media/image110.emf"/><Relationship Id="rId6" Type="http://schemas.openxmlformats.org/officeDocument/2006/relationships/image" Target="../media/image130.emf"/><Relationship Id="rId5" Type="http://schemas.openxmlformats.org/officeDocument/2006/relationships/image" Target="../media/image114.emf"/><Relationship Id="rId4" Type="http://schemas.openxmlformats.org/officeDocument/2006/relationships/image" Target="../media/image129.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8" Type="http://schemas.openxmlformats.org/officeDocument/2006/relationships/image" Target="../media/image59.emf"/><Relationship Id="rId13" Type="http://schemas.openxmlformats.org/officeDocument/2006/relationships/image" Target="../media/image64.emf"/><Relationship Id="rId18" Type="http://schemas.openxmlformats.org/officeDocument/2006/relationships/image" Target="../media/image69.emf"/><Relationship Id="rId3" Type="http://schemas.openxmlformats.org/officeDocument/2006/relationships/image" Target="../media/image54.emf"/><Relationship Id="rId21" Type="http://schemas.openxmlformats.org/officeDocument/2006/relationships/image" Target="../media/image72.emf"/><Relationship Id="rId7" Type="http://schemas.openxmlformats.org/officeDocument/2006/relationships/image" Target="../media/image58.emf"/><Relationship Id="rId12" Type="http://schemas.openxmlformats.org/officeDocument/2006/relationships/image" Target="../media/image63.emf"/><Relationship Id="rId17" Type="http://schemas.openxmlformats.org/officeDocument/2006/relationships/image" Target="../media/image68.emf"/><Relationship Id="rId2" Type="http://schemas.openxmlformats.org/officeDocument/2006/relationships/image" Target="../media/image53.emf"/><Relationship Id="rId16" Type="http://schemas.openxmlformats.org/officeDocument/2006/relationships/image" Target="../media/image67.emf"/><Relationship Id="rId20" Type="http://schemas.openxmlformats.org/officeDocument/2006/relationships/image" Target="../media/image71.emf"/><Relationship Id="rId1" Type="http://schemas.openxmlformats.org/officeDocument/2006/relationships/image" Target="../media/image52.emf"/><Relationship Id="rId6" Type="http://schemas.openxmlformats.org/officeDocument/2006/relationships/image" Target="../media/image57.emf"/><Relationship Id="rId11" Type="http://schemas.openxmlformats.org/officeDocument/2006/relationships/image" Target="../media/image62.emf"/><Relationship Id="rId24" Type="http://schemas.openxmlformats.org/officeDocument/2006/relationships/image" Target="../media/image75.emf"/><Relationship Id="rId5" Type="http://schemas.openxmlformats.org/officeDocument/2006/relationships/image" Target="../media/image56.emf"/><Relationship Id="rId15" Type="http://schemas.openxmlformats.org/officeDocument/2006/relationships/image" Target="../media/image66.emf"/><Relationship Id="rId23" Type="http://schemas.openxmlformats.org/officeDocument/2006/relationships/image" Target="../media/image74.emf"/><Relationship Id="rId10" Type="http://schemas.openxmlformats.org/officeDocument/2006/relationships/image" Target="../media/image61.emf"/><Relationship Id="rId19" Type="http://schemas.openxmlformats.org/officeDocument/2006/relationships/image" Target="../media/image70.emf"/><Relationship Id="rId4" Type="http://schemas.openxmlformats.org/officeDocument/2006/relationships/image" Target="../media/image55.emf"/><Relationship Id="rId9" Type="http://schemas.openxmlformats.org/officeDocument/2006/relationships/image" Target="../media/image60.emf"/><Relationship Id="rId14" Type="http://schemas.openxmlformats.org/officeDocument/2006/relationships/image" Target="../media/image65.emf"/><Relationship Id="rId22" Type="http://schemas.openxmlformats.org/officeDocument/2006/relationships/image" Target="../media/image73.emf"/></Relationships>
</file>

<file path=xl/drawings/_rels/vmlDrawing15.vml.rels><?xml version="1.0" encoding="UTF-8" standalone="yes"?>
<Relationships xmlns="http://schemas.openxmlformats.org/package/2006/relationships"><Relationship Id="rId8" Type="http://schemas.openxmlformats.org/officeDocument/2006/relationships/image" Target="../media/image126.emf"/><Relationship Id="rId3" Type="http://schemas.openxmlformats.org/officeDocument/2006/relationships/image" Target="../media/image121.emf"/><Relationship Id="rId7" Type="http://schemas.openxmlformats.org/officeDocument/2006/relationships/image" Target="../media/image125.emf"/><Relationship Id="rId2" Type="http://schemas.openxmlformats.org/officeDocument/2006/relationships/image" Target="../media/image120.emf"/><Relationship Id="rId1" Type="http://schemas.openxmlformats.org/officeDocument/2006/relationships/image" Target="../media/image119.emf"/><Relationship Id="rId6" Type="http://schemas.openxmlformats.org/officeDocument/2006/relationships/image" Target="../media/image124.emf"/><Relationship Id="rId5" Type="http://schemas.openxmlformats.org/officeDocument/2006/relationships/image" Target="../media/image123.emf"/><Relationship Id="rId4" Type="http://schemas.openxmlformats.org/officeDocument/2006/relationships/image" Target="../media/image122.emf"/><Relationship Id="rId9" Type="http://schemas.openxmlformats.org/officeDocument/2006/relationships/image" Target="../media/image127.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21.emf"/><Relationship Id="rId7" Type="http://schemas.openxmlformats.org/officeDocument/2006/relationships/image" Target="../media/image135.emf"/><Relationship Id="rId2" Type="http://schemas.openxmlformats.org/officeDocument/2006/relationships/image" Target="../media/image132.emf"/><Relationship Id="rId1" Type="http://schemas.openxmlformats.org/officeDocument/2006/relationships/image" Target="../media/image119.emf"/><Relationship Id="rId6" Type="http://schemas.openxmlformats.org/officeDocument/2006/relationships/image" Target="../media/image134.emf"/><Relationship Id="rId5" Type="http://schemas.openxmlformats.org/officeDocument/2006/relationships/image" Target="../media/image123.emf"/><Relationship Id="rId4" Type="http://schemas.openxmlformats.org/officeDocument/2006/relationships/image" Target="../media/image13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161925</xdr:rowOff>
        </xdr:from>
        <xdr:to>
          <xdr:col>5</xdr:col>
          <xdr:colOff>285750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2674913"/>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2674914"/>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2702459"/>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2702460"/>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866775</xdr:colOff>
          <xdr:row>0</xdr:row>
          <xdr:rowOff>0</xdr:rowOff>
        </xdr:from>
        <xdr:to>
          <xdr:col>27</xdr:col>
          <xdr:colOff>0</xdr:colOff>
          <xdr:row>0</xdr:row>
          <xdr:rowOff>209550</xdr:rowOff>
        </xdr:to>
        <xdr:sp macro="" textlink="">
          <xdr:nvSpPr>
            <xdr:cNvPr id="244737" name="Check Box 1967" hidden="1">
              <a:extLst>
                <a:ext uri="{63B3BB69-23CF-44E3-9099-C40C66FF867C}">
                  <a14:compatExt spid="_x0000_s244737"/>
                </a:ext>
                <a:ext uri="{FF2B5EF4-FFF2-40B4-BE49-F238E27FC236}">
                  <a16:creationId xmlns:a16="http://schemas.microsoft.com/office/drawing/2014/main" id="{00000000-0008-0000-1400-000001B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266700</xdr:colOff>
      <xdr:row>0</xdr:row>
      <xdr:rowOff>0</xdr:rowOff>
    </xdr:from>
    <xdr:to>
      <xdr:col>7</xdr:col>
      <xdr:colOff>180975</xdr:colOff>
      <xdr:row>7</xdr:row>
      <xdr:rowOff>85725</xdr:rowOff>
    </xdr:to>
    <xdr:pic>
      <xdr:nvPicPr>
        <xdr:cNvPr id="865707" name="Obrázek 2">
          <a:extLst>
            <a:ext uri="{FF2B5EF4-FFF2-40B4-BE49-F238E27FC236}">
              <a16:creationId xmlns:a16="http://schemas.microsoft.com/office/drawing/2014/main" id="{BA93D36B-1A42-0540-F8D3-8EFC1A68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0"/>
          <a:ext cx="2247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133350</xdr:colOff>
          <xdr:row>33</xdr:row>
          <xdr:rowOff>200025</xdr:rowOff>
        </xdr:from>
        <xdr:to>
          <xdr:col>9</xdr:col>
          <xdr:colOff>466725</xdr:colOff>
          <xdr:row>35</xdr:row>
          <xdr:rowOff>66675</xdr:rowOff>
        </xdr:to>
        <xdr:sp macro="" textlink="">
          <xdr:nvSpPr>
            <xdr:cNvPr id="244738" name="Option Button 2" hidden="1">
              <a:extLst>
                <a:ext uri="{63B3BB69-23CF-44E3-9099-C40C66FF867C}">
                  <a14:compatExt spid="_x0000_s244738"/>
                </a:ext>
                <a:ext uri="{FF2B5EF4-FFF2-40B4-BE49-F238E27FC236}">
                  <a16:creationId xmlns:a16="http://schemas.microsoft.com/office/drawing/2014/main" id="{00000000-0008-0000-14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xdr:row>
          <xdr:rowOff>200025</xdr:rowOff>
        </xdr:from>
        <xdr:to>
          <xdr:col>12</xdr:col>
          <xdr:colOff>466725</xdr:colOff>
          <xdr:row>35</xdr:row>
          <xdr:rowOff>66675</xdr:rowOff>
        </xdr:to>
        <xdr:sp macro="" textlink="">
          <xdr:nvSpPr>
            <xdr:cNvPr id="244739" name="Option Button 3" hidden="1">
              <a:extLst>
                <a:ext uri="{63B3BB69-23CF-44E3-9099-C40C66FF867C}">
                  <a14:compatExt spid="_x0000_s244739"/>
                </a:ext>
                <a:ext uri="{FF2B5EF4-FFF2-40B4-BE49-F238E27FC236}">
                  <a16:creationId xmlns:a16="http://schemas.microsoft.com/office/drawing/2014/main" id="{00000000-0008-0000-14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200025</xdr:rowOff>
        </xdr:from>
        <xdr:to>
          <xdr:col>16</xdr:col>
          <xdr:colOff>95250</xdr:colOff>
          <xdr:row>35</xdr:row>
          <xdr:rowOff>66675</xdr:rowOff>
        </xdr:to>
        <xdr:sp macro="" textlink="">
          <xdr:nvSpPr>
            <xdr:cNvPr id="244740" name="Option Button 4" hidden="1">
              <a:extLst>
                <a:ext uri="{63B3BB69-23CF-44E3-9099-C40C66FF867C}">
                  <a14:compatExt spid="_x0000_s244740"/>
                </a:ext>
                <a:ext uri="{FF2B5EF4-FFF2-40B4-BE49-F238E27FC236}">
                  <a16:creationId xmlns:a16="http://schemas.microsoft.com/office/drawing/2014/main" id="{00000000-0008-0000-14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247650</xdr:rowOff>
        </xdr:from>
        <xdr:to>
          <xdr:col>9</xdr:col>
          <xdr:colOff>552450</xdr:colOff>
          <xdr:row>13</xdr:row>
          <xdr:rowOff>28575</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4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333375</xdr:colOff>
          <xdr:row>20</xdr:row>
          <xdr:rowOff>180975</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6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58750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180975</xdr:rowOff>
        </xdr:from>
        <xdr:to>
          <xdr:col>0</xdr:col>
          <xdr:colOff>361950</xdr:colOff>
          <xdr:row>22</xdr:row>
          <xdr:rowOff>38100</xdr:rowOff>
        </xdr:to>
        <xdr:sp macro="" textlink="">
          <xdr:nvSpPr>
            <xdr:cNvPr id="2677761" name="Check Box 1" hidden="1">
              <a:extLst>
                <a:ext uri="{63B3BB69-23CF-44E3-9099-C40C66FF867C}">
                  <a14:compatExt spid="_x0000_s2677761"/>
                </a:ext>
                <a:ext uri="{FF2B5EF4-FFF2-40B4-BE49-F238E27FC236}">
                  <a16:creationId xmlns:a16="http://schemas.microsoft.com/office/drawing/2014/main" id="{00000000-0008-0000-1700-000001DC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8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372747</xdr:colOff>
      <xdr:row>8</xdr:row>
      <xdr:rowOff>21908</xdr:rowOff>
    </xdr:from>
    <xdr:to>
      <xdr:col>31</xdr:col>
      <xdr:colOff>321468</xdr:colOff>
      <xdr:row>50</xdr:row>
      <xdr:rowOff>126175</xdr:rowOff>
    </xdr:to>
    <xdr:pic>
      <xdr:nvPicPr>
        <xdr:cNvPr id="11" name="Obrázek 10">
          <a:extLst>
            <a:ext uri="{FF2B5EF4-FFF2-40B4-BE49-F238E27FC236}">
              <a16:creationId xmlns:a16="http://schemas.microsoft.com/office/drawing/2014/main" id="{661BD143-1299-9ACD-7E03-25D66F5FA3C2}"/>
            </a:ext>
          </a:extLst>
        </xdr:cNvPr>
        <xdr:cNvPicPr>
          <a:picLocks noChangeAspect="1"/>
        </xdr:cNvPicPr>
      </xdr:nvPicPr>
      <xdr:blipFill>
        <a:blip xmlns:r="http://schemas.openxmlformats.org/officeDocument/2006/relationships" r:embed="rId16"/>
        <a:stretch>
          <a:fillRect/>
        </a:stretch>
      </xdr:blipFill>
      <xdr:spPr>
        <a:xfrm>
          <a:off x="12278997" y="1676877"/>
          <a:ext cx="6604315" cy="8676767"/>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7"/>
        <a:stretch>
          <a:fillRect/>
        </a:stretch>
      </xdr:blipFill>
      <xdr:spPr>
        <a:xfrm>
          <a:off x="12425818" y="11166158"/>
          <a:ext cx="6767057" cy="55778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727709"/>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727710"/>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727711"/>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727712"/>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727713"/>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727714"/>
                </a:ext>
              </a:extLst>
            </xdr:cNvPicPr>
          </xdr:nvPicPr>
          <xdr:blipFill>
            <a:blip xmlns:r="http://schemas.openxmlformats.org/officeDocument/2006/relationships" r:embed="rId3"/>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727715"/>
                </a:ext>
              </a:extLst>
            </xdr:cNvPicPr>
          </xdr:nvPicPr>
          <xdr:blipFill>
            <a:blip xmlns:r="http://schemas.openxmlformats.org/officeDocument/2006/relationships" r:embed="rId6"/>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727716"/>
                </a:ext>
              </a:extLst>
            </xdr:cNvPicPr>
          </xdr:nvPicPr>
          <xdr:blipFill>
            <a:blip xmlns:r="http://schemas.openxmlformats.org/officeDocument/2006/relationships" r:embed="rId7"/>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727717"/>
                </a:ext>
              </a:extLst>
            </xdr:cNvPicPr>
          </xdr:nvPicPr>
          <xdr:blipFill>
            <a:blip xmlns:r="http://schemas.openxmlformats.org/officeDocument/2006/relationships" r:embed="rId3"/>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727718"/>
                </a:ext>
              </a:extLst>
            </xdr:cNvPicPr>
          </xdr:nvPicPr>
          <xdr:blipFill>
            <a:blip xmlns:r="http://schemas.openxmlformats.org/officeDocument/2006/relationships" r:embed="rId8"/>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727719"/>
                </a:ext>
              </a:extLst>
            </xdr:cNvPicPr>
          </xdr:nvPicPr>
          <xdr:blipFill>
            <a:blip xmlns:r="http://schemas.openxmlformats.org/officeDocument/2006/relationships" r:embed="rId9"/>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727720"/>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727721"/>
                </a:ext>
              </a:extLst>
            </xdr:cNvPicPr>
          </xdr:nvPicPr>
          <xdr:blipFill>
            <a:blip xmlns:r="http://schemas.openxmlformats.org/officeDocument/2006/relationships" r:embed="rId10"/>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727722"/>
                </a:ext>
              </a:extLst>
            </xdr:cNvPicPr>
          </xdr:nvPicPr>
          <xdr:blipFill>
            <a:blip xmlns:r="http://schemas.openxmlformats.org/officeDocument/2006/relationships" r:embed="rId11"/>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727723"/>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727724"/>
                </a:ext>
              </a:extLst>
            </xdr:cNvPicPr>
          </xdr:nvPicPr>
          <xdr:blipFill>
            <a:blip xmlns:r="http://schemas.openxmlformats.org/officeDocument/2006/relationships" r:embed="rId12"/>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727725"/>
                </a:ext>
              </a:extLst>
            </xdr:cNvPicPr>
          </xdr:nvPicPr>
          <xdr:blipFill>
            <a:blip xmlns:r="http://schemas.openxmlformats.org/officeDocument/2006/relationships" r:embed="rId13"/>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727726"/>
                </a:ext>
              </a:extLst>
            </xdr:cNvPicPr>
          </xdr:nvPicPr>
          <xdr:blipFill>
            <a:blip xmlns:r="http://schemas.openxmlformats.org/officeDocument/2006/relationships" r:embed="rId3"/>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727727"/>
                </a:ext>
              </a:extLst>
            </xdr:cNvPicPr>
          </xdr:nvPicPr>
          <xdr:blipFill>
            <a:blip xmlns:r="http://schemas.openxmlformats.org/officeDocument/2006/relationships" r:embed="rId14"/>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129540</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727728"/>
                </a:ext>
              </a:extLst>
            </xdr:cNvPicPr>
          </xdr:nvPicPr>
          <xdr:blipFill>
            <a:blip xmlns:r="http://schemas.openxmlformats.org/officeDocument/2006/relationships" r:embed="rId15"/>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727729"/>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727730"/>
                </a:ext>
              </a:extLst>
            </xdr:cNvPicPr>
          </xdr:nvPicPr>
          <xdr:blipFill>
            <a:blip xmlns:r="http://schemas.openxmlformats.org/officeDocument/2006/relationships" r:embed="rId16"/>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727731"/>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43815</xdr:colOff>
      <xdr:row>0</xdr:row>
      <xdr:rowOff>139065</xdr:rowOff>
    </xdr:from>
    <xdr:to>
      <xdr:col>8</xdr:col>
      <xdr:colOff>87819</xdr:colOff>
      <xdr:row>3</xdr:row>
      <xdr:rowOff>47665</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7"/>
        <a:stretch>
          <a:fillRect/>
        </a:stretch>
      </xdr:blipFill>
      <xdr:spPr>
        <a:xfrm>
          <a:off x="348615" y="139065"/>
          <a:ext cx="2177604" cy="4515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70" name="Obrázek 41">
              <a:extLst>
                <a:ext uri="{FF2B5EF4-FFF2-40B4-BE49-F238E27FC236}">
                  <a16:creationId xmlns:a16="http://schemas.microsoft.com/office/drawing/2014/main" id="{24FA8C11-205F-721B-E329-FC2E17D5AC1C}"/>
                </a:ext>
              </a:extLst>
            </xdr:cNvPr>
            <xdr:cNvPicPr>
              <a:picLocks noChangeAspect="1" noChangeArrowheads="1"/>
              <a:extLst>
                <a:ext uri="{84589F7E-364E-4C9E-8A38-B11213B215E9}">
                  <a14:cameraTool cellRange="Ram_1!$B$7:$Q$33" spid="_x0000_s2727732"/>
                </a:ext>
              </a:extLst>
            </xdr:cNvPicPr>
          </xdr:nvPicPr>
          <xdr:blipFill>
            <a:blip xmlns:r="http://schemas.openxmlformats.org/officeDocument/2006/relationships" r:embed="rId14"/>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2305471" name="Obrázek 47">
              <a:extLst>
                <a:ext uri="{FF2B5EF4-FFF2-40B4-BE49-F238E27FC236}">
                  <a16:creationId xmlns:a16="http://schemas.microsoft.com/office/drawing/2014/main" id="{9AECAAB7-CC07-179D-CEFB-F0630B99FBB3}"/>
                </a:ext>
              </a:extLst>
            </xdr:cNvPr>
            <xdr:cNvPicPr>
              <a:picLocks noChangeAspect="1" noChangeArrowheads="1"/>
              <a:extLst>
                <a:ext uri="{84589F7E-364E-4C9E-8A38-B11213B215E9}">
                  <a14:cameraTool cellRange="Ram_1!$AA$6:$AR$30" spid="_x0000_s2727733"/>
                </a:ext>
              </a:extLst>
            </xdr:cNvPicPr>
          </xdr:nvPicPr>
          <xdr:blipFill>
            <a:blip xmlns:r="http://schemas.openxmlformats.org/officeDocument/2006/relationships" r:embed="rId18"/>
            <a:srcRect/>
            <a:stretch>
              <a:fillRect/>
            </a:stretch>
          </xdr:blipFill>
          <xdr:spPr bwMode="auto">
            <a:xfrm>
              <a:off x="7924800" y="22002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72" name="Obrázek 14">
              <a:extLst>
                <a:ext uri="{FF2B5EF4-FFF2-40B4-BE49-F238E27FC236}">
                  <a16:creationId xmlns:a16="http://schemas.microsoft.com/office/drawing/2014/main" id="{A8D8A257-02CD-0488-E146-0B283AB8257E}"/>
                </a:ext>
              </a:extLst>
            </xdr:cNvPr>
            <xdr:cNvPicPr>
              <a:picLocks noChangeAspect="1" noChangeArrowheads="1"/>
              <a:extLst>
                <a:ext uri="{84589F7E-364E-4C9E-8A38-B11213B215E9}">
                  <a14:cameraTool cellRange="Ram_1!$S$24:$Y$32" spid="_x0000_s2727734"/>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73" name="Obrázek 30">
              <a:extLst>
                <a:ext uri="{FF2B5EF4-FFF2-40B4-BE49-F238E27FC236}">
                  <a16:creationId xmlns:a16="http://schemas.microsoft.com/office/drawing/2014/main" id="{2B60BE1D-8032-8D16-FF89-6A929B53910E}"/>
                </a:ext>
              </a:extLst>
            </xdr:cNvPr>
            <xdr:cNvPicPr>
              <a:picLocks noChangeAspect="1" noChangeArrowheads="1"/>
              <a:extLst>
                <a:ext uri="{84589F7E-364E-4C9E-8A38-B11213B215E9}">
                  <a14:cameraTool cellRange="Ram_2!$B$7:$Q$33" spid="_x0000_s2727735"/>
                </a:ext>
              </a:extLst>
            </xdr:cNvPicPr>
          </xdr:nvPicPr>
          <xdr:blipFill>
            <a:blip xmlns:r="http://schemas.openxmlformats.org/officeDocument/2006/relationships" r:embed="rId4"/>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74" name="Obrázek 31">
              <a:extLst>
                <a:ext uri="{FF2B5EF4-FFF2-40B4-BE49-F238E27FC236}">
                  <a16:creationId xmlns:a16="http://schemas.microsoft.com/office/drawing/2014/main" id="{E25508AB-EEF9-D1F2-2C0E-22611448B013}"/>
                </a:ext>
              </a:extLst>
            </xdr:cNvPr>
            <xdr:cNvPicPr>
              <a:picLocks noChangeAspect="1" noChangeArrowheads="1"/>
              <a:extLst>
                <a:ext uri="{84589F7E-364E-4C9E-8A38-B11213B215E9}">
                  <a14:cameraTool cellRange="Ram_2!$AA$6:$AR$30" spid="_x0000_s2727736"/>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2305475" name="Obrázek 32">
              <a:extLst>
                <a:ext uri="{FF2B5EF4-FFF2-40B4-BE49-F238E27FC236}">
                  <a16:creationId xmlns:a16="http://schemas.microsoft.com/office/drawing/2014/main" id="{F8C9684E-CAD9-DD3C-7A29-B6D5B36EFF02}"/>
                </a:ext>
              </a:extLst>
            </xdr:cNvPr>
            <xdr:cNvPicPr>
              <a:picLocks noChangeArrowheads="1"/>
              <a:extLst>
                <a:ext uri="{84589F7E-364E-4C9E-8A38-B11213B215E9}">
                  <a14:cameraTool cellRange="Ram_2!$S$24:$Y$32" spid="_x0000_s2727737"/>
                </a:ext>
              </a:extLst>
            </xdr:cNvPicPr>
          </xdr:nvPicPr>
          <xdr:blipFill>
            <a:blip xmlns:r="http://schemas.openxmlformats.org/officeDocument/2006/relationships" r:embed="rId3"/>
            <a:srcRect/>
            <a:stretch>
              <a:fillRect/>
            </a:stretch>
          </xdr:blipFill>
          <xdr:spPr bwMode="auto">
            <a:xfrm>
              <a:off x="600075" y="78295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2305476" name="Obrázek 33">
              <a:extLst>
                <a:ext uri="{FF2B5EF4-FFF2-40B4-BE49-F238E27FC236}">
                  <a16:creationId xmlns:a16="http://schemas.microsoft.com/office/drawing/2014/main" id="{19F52558-E7D3-C648-D10A-D3592E1AB9D0}"/>
                </a:ext>
              </a:extLst>
            </xdr:cNvPr>
            <xdr:cNvPicPr>
              <a:picLocks noChangeArrowheads="1"/>
              <a:extLst>
                <a:ext uri="{84589F7E-364E-4C9E-8A38-B11213B215E9}">
                  <a14:cameraTool cellRange="Ram_3!$B$7:$Q$33" spid="_x0000_s2727738"/>
                </a:ext>
              </a:extLst>
            </xdr:cNvPicPr>
          </xdr:nvPicPr>
          <xdr:blipFill>
            <a:blip xmlns:r="http://schemas.openxmlformats.org/officeDocument/2006/relationships" r:embed="rId19"/>
            <a:srcRect/>
            <a:stretch>
              <a:fillRect/>
            </a:stretch>
          </xdr:blipFill>
          <xdr:spPr bwMode="auto">
            <a:xfrm>
              <a:off x="2924175" y="122396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57150</xdr:rowOff>
        </xdr:to>
        <xdr:pic>
          <xdr:nvPicPr>
            <xdr:cNvPr id="2305477" name="Obrázek 34">
              <a:extLst>
                <a:ext uri="{FF2B5EF4-FFF2-40B4-BE49-F238E27FC236}">
                  <a16:creationId xmlns:a16="http://schemas.microsoft.com/office/drawing/2014/main" id="{254AB047-E142-A7C5-6742-87DC2495B995}"/>
                </a:ext>
              </a:extLst>
            </xdr:cNvPr>
            <xdr:cNvPicPr>
              <a:picLocks noChangeArrowheads="1"/>
              <a:extLst>
                <a:ext uri="{84589F7E-364E-4C9E-8A38-B11213B215E9}">
                  <a14:cameraTool cellRange="Ram_3!$AA$6:$AR$30" spid="_x0000_s2727739"/>
                </a:ext>
              </a:extLst>
            </xdr:cNvPicPr>
          </xdr:nvPicPr>
          <xdr:blipFill>
            <a:blip xmlns:r="http://schemas.openxmlformats.org/officeDocument/2006/relationships" r:embed="rId7"/>
            <a:srcRect/>
            <a:stretch>
              <a:fillRect/>
            </a:stretch>
          </xdr:blipFill>
          <xdr:spPr bwMode="auto">
            <a:xfrm>
              <a:off x="7924800" y="122396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2305478" name="Obrázek 35">
              <a:extLst>
                <a:ext uri="{FF2B5EF4-FFF2-40B4-BE49-F238E27FC236}">
                  <a16:creationId xmlns:a16="http://schemas.microsoft.com/office/drawing/2014/main" id="{6AE66702-DD75-189D-B793-27DF6FB5DCDC}"/>
                </a:ext>
              </a:extLst>
            </xdr:cNvPr>
            <xdr:cNvPicPr>
              <a:picLocks noChangeArrowheads="1"/>
              <a:extLst>
                <a:ext uri="{84589F7E-364E-4C9E-8A38-B11213B215E9}">
                  <a14:cameraTool cellRange="Ram_3!$S$24:$Y$32" spid="_x0000_s2727740"/>
                </a:ext>
              </a:extLst>
            </xdr:cNvPicPr>
          </xdr:nvPicPr>
          <xdr:blipFill>
            <a:blip xmlns:r="http://schemas.openxmlformats.org/officeDocument/2006/relationships" r:embed="rId3"/>
            <a:srcRect/>
            <a:stretch>
              <a:fillRect/>
            </a:stretch>
          </xdr:blipFill>
          <xdr:spPr bwMode="auto">
            <a:xfrm>
              <a:off x="600075" y="129730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2305479" name="Obrázek 39">
              <a:extLst>
                <a:ext uri="{FF2B5EF4-FFF2-40B4-BE49-F238E27FC236}">
                  <a16:creationId xmlns:a16="http://schemas.microsoft.com/office/drawing/2014/main" id="{0730846A-6E4F-D564-3087-ADF131F86B61}"/>
                </a:ext>
              </a:extLst>
            </xdr:cNvPr>
            <xdr:cNvPicPr>
              <a:picLocks noChangeArrowheads="1"/>
              <a:extLst>
                <a:ext uri="{84589F7E-364E-4C9E-8A38-B11213B215E9}">
                  <a14:cameraTool cellRange="Ram_4!$B$7:$Q$33" spid="_x0000_s2727741"/>
                </a:ext>
              </a:extLst>
            </xdr:cNvPicPr>
          </xdr:nvPicPr>
          <xdr:blipFill>
            <a:blip xmlns:r="http://schemas.openxmlformats.org/officeDocument/2006/relationships" r:embed="rId20"/>
            <a:srcRect/>
            <a:stretch>
              <a:fillRect/>
            </a:stretch>
          </xdr:blipFill>
          <xdr:spPr bwMode="auto">
            <a:xfrm>
              <a:off x="2924175" y="1737360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57150</xdr:rowOff>
        </xdr:to>
        <xdr:pic>
          <xdr:nvPicPr>
            <xdr:cNvPr id="2305480" name="Obrázek 40">
              <a:extLst>
                <a:ext uri="{FF2B5EF4-FFF2-40B4-BE49-F238E27FC236}">
                  <a16:creationId xmlns:a16="http://schemas.microsoft.com/office/drawing/2014/main" id="{919C626F-2C92-BD24-8053-163F70800460}"/>
                </a:ext>
              </a:extLst>
            </xdr:cNvPr>
            <xdr:cNvPicPr>
              <a:picLocks noChangeArrowheads="1"/>
              <a:extLst>
                <a:ext uri="{84589F7E-364E-4C9E-8A38-B11213B215E9}">
                  <a14:cameraTool cellRange="Ram_4!$AA$6:$AR$30" spid="_x0000_s2727742"/>
                </a:ext>
              </a:extLst>
            </xdr:cNvPicPr>
          </xdr:nvPicPr>
          <xdr:blipFill>
            <a:blip xmlns:r="http://schemas.openxmlformats.org/officeDocument/2006/relationships" r:embed="rId21"/>
            <a:srcRect/>
            <a:stretch>
              <a:fillRect/>
            </a:stretch>
          </xdr:blipFill>
          <xdr:spPr bwMode="auto">
            <a:xfrm>
              <a:off x="7924800" y="1737360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2305481" name="Obrázek 42">
              <a:extLst>
                <a:ext uri="{FF2B5EF4-FFF2-40B4-BE49-F238E27FC236}">
                  <a16:creationId xmlns:a16="http://schemas.microsoft.com/office/drawing/2014/main" id="{1DE23DE5-243B-A2C1-854C-5351DAE47540}"/>
                </a:ext>
              </a:extLst>
            </xdr:cNvPr>
            <xdr:cNvPicPr>
              <a:picLocks noChangeArrowheads="1"/>
              <a:extLst>
                <a:ext uri="{84589F7E-364E-4C9E-8A38-B11213B215E9}">
                  <a14:cameraTool cellRange="Ram_4!$S$24:$Y$32" spid="_x0000_s2727743"/>
                </a:ext>
              </a:extLst>
            </xdr:cNvPicPr>
          </xdr:nvPicPr>
          <xdr:blipFill>
            <a:blip xmlns:r="http://schemas.openxmlformats.org/officeDocument/2006/relationships" r:embed="rId3"/>
            <a:srcRect/>
            <a:stretch>
              <a:fillRect/>
            </a:stretch>
          </xdr:blipFill>
          <xdr:spPr bwMode="auto">
            <a:xfrm>
              <a:off x="600075" y="1806892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2305482" name="Obrázek 43">
              <a:extLst>
                <a:ext uri="{FF2B5EF4-FFF2-40B4-BE49-F238E27FC236}">
                  <a16:creationId xmlns:a16="http://schemas.microsoft.com/office/drawing/2014/main" id="{97705BDA-D0D5-5461-6FCA-6649C8D86298}"/>
                </a:ext>
              </a:extLst>
            </xdr:cNvPr>
            <xdr:cNvPicPr>
              <a:picLocks noChangeArrowheads="1"/>
              <a:extLst>
                <a:ext uri="{84589F7E-364E-4C9E-8A38-B11213B215E9}">
                  <a14:cameraTool cellRange="Ram_5!$B$7:$Q$33" spid="_x0000_s2727744"/>
                </a:ext>
              </a:extLst>
            </xdr:cNvPicPr>
          </xdr:nvPicPr>
          <xdr:blipFill>
            <a:blip xmlns:r="http://schemas.openxmlformats.org/officeDocument/2006/relationships" r:embed="rId22"/>
            <a:srcRect/>
            <a:stretch>
              <a:fillRect/>
            </a:stretch>
          </xdr:blipFill>
          <xdr:spPr bwMode="auto">
            <a:xfrm>
              <a:off x="2924175" y="22259925"/>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57150</xdr:rowOff>
        </xdr:to>
        <xdr:pic>
          <xdr:nvPicPr>
            <xdr:cNvPr id="2305483" name="Obrázek 44">
              <a:extLst>
                <a:ext uri="{FF2B5EF4-FFF2-40B4-BE49-F238E27FC236}">
                  <a16:creationId xmlns:a16="http://schemas.microsoft.com/office/drawing/2014/main" id="{8F843857-8EF6-C42B-9F53-F2457E98CA3D}"/>
                </a:ext>
              </a:extLst>
            </xdr:cNvPr>
            <xdr:cNvPicPr>
              <a:picLocks noChangeArrowheads="1"/>
              <a:extLst>
                <a:ext uri="{84589F7E-364E-4C9E-8A38-B11213B215E9}">
                  <a14:cameraTool cellRange="Ram_5!$AA$6:$AR$30" spid="_x0000_s2727745"/>
                </a:ext>
              </a:extLst>
            </xdr:cNvPicPr>
          </xdr:nvPicPr>
          <xdr:blipFill>
            <a:blip xmlns:r="http://schemas.openxmlformats.org/officeDocument/2006/relationships" r:embed="rId11"/>
            <a:srcRect/>
            <a:stretch>
              <a:fillRect/>
            </a:stretch>
          </xdr:blipFill>
          <xdr:spPr bwMode="auto">
            <a:xfrm>
              <a:off x="7924800" y="22259925"/>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2305484" name="Obrázek 46">
              <a:extLst>
                <a:ext uri="{FF2B5EF4-FFF2-40B4-BE49-F238E27FC236}">
                  <a16:creationId xmlns:a16="http://schemas.microsoft.com/office/drawing/2014/main" id="{7C87D231-AD70-4AFE-C90D-28737C03926C}"/>
                </a:ext>
              </a:extLst>
            </xdr:cNvPr>
            <xdr:cNvPicPr>
              <a:picLocks noChangeArrowheads="1"/>
              <a:extLst>
                <a:ext uri="{84589F7E-364E-4C9E-8A38-B11213B215E9}">
                  <a14:cameraTool cellRange="Ram_5!$S$24:$Y$32" spid="_x0000_s2727746"/>
                </a:ext>
              </a:extLst>
            </xdr:cNvPicPr>
          </xdr:nvPicPr>
          <xdr:blipFill>
            <a:blip xmlns:r="http://schemas.openxmlformats.org/officeDocument/2006/relationships" r:embed="rId3"/>
            <a:srcRect/>
            <a:stretch>
              <a:fillRect/>
            </a:stretch>
          </xdr:blipFill>
          <xdr:spPr bwMode="auto">
            <a:xfrm>
              <a:off x="600075" y="2295525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2305485" name="Obrázek 52">
              <a:extLst>
                <a:ext uri="{FF2B5EF4-FFF2-40B4-BE49-F238E27FC236}">
                  <a16:creationId xmlns:a16="http://schemas.microsoft.com/office/drawing/2014/main" id="{2FF1E296-68DF-10CB-E806-D78D03532A35}"/>
                </a:ext>
              </a:extLst>
            </xdr:cNvPr>
            <xdr:cNvPicPr>
              <a:picLocks noChangeArrowheads="1"/>
              <a:extLst>
                <a:ext uri="{84589F7E-364E-4C9E-8A38-B11213B215E9}">
                  <a14:cameraTool cellRange="Ram_6!$B$7:$Q$33" spid="_x0000_s2727747"/>
                </a:ext>
              </a:extLst>
            </xdr:cNvPicPr>
          </xdr:nvPicPr>
          <xdr:blipFill>
            <a:blip xmlns:r="http://schemas.openxmlformats.org/officeDocument/2006/relationships" r:embed="rId23"/>
            <a:srcRect/>
            <a:stretch>
              <a:fillRect/>
            </a:stretch>
          </xdr:blipFill>
          <xdr:spPr bwMode="auto">
            <a:xfrm>
              <a:off x="2924175" y="2714625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57150</xdr:rowOff>
        </xdr:to>
        <xdr:pic>
          <xdr:nvPicPr>
            <xdr:cNvPr id="2305486" name="Obrázek 58">
              <a:extLst>
                <a:ext uri="{FF2B5EF4-FFF2-40B4-BE49-F238E27FC236}">
                  <a16:creationId xmlns:a16="http://schemas.microsoft.com/office/drawing/2014/main" id="{2429994C-9F8C-6117-82E3-03D5938503B3}"/>
                </a:ext>
              </a:extLst>
            </xdr:cNvPr>
            <xdr:cNvPicPr>
              <a:picLocks noChangeArrowheads="1"/>
              <a:extLst>
                <a:ext uri="{84589F7E-364E-4C9E-8A38-B11213B215E9}">
                  <a14:cameraTool cellRange="Ram_6!$AA$6:$AR$30" spid="_x0000_s2727748"/>
                </a:ext>
              </a:extLst>
            </xdr:cNvPicPr>
          </xdr:nvPicPr>
          <xdr:blipFill>
            <a:blip xmlns:r="http://schemas.openxmlformats.org/officeDocument/2006/relationships" r:embed="rId13"/>
            <a:srcRect/>
            <a:stretch>
              <a:fillRect/>
            </a:stretch>
          </xdr:blipFill>
          <xdr:spPr bwMode="auto">
            <a:xfrm>
              <a:off x="7924800" y="2714625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2305487" name="Obrázek 59">
              <a:extLst>
                <a:ext uri="{FF2B5EF4-FFF2-40B4-BE49-F238E27FC236}">
                  <a16:creationId xmlns:a16="http://schemas.microsoft.com/office/drawing/2014/main" id="{71040077-9871-E40F-8CFD-6E4C44BDAA1F}"/>
                </a:ext>
              </a:extLst>
            </xdr:cNvPr>
            <xdr:cNvPicPr>
              <a:picLocks noChangeArrowheads="1"/>
              <a:extLst>
                <a:ext uri="{84589F7E-364E-4C9E-8A38-B11213B215E9}">
                  <a14:cameraTool cellRange="Ram_6!$S$24:$Y$32" spid="_x0000_s2727749"/>
                </a:ext>
              </a:extLst>
            </xdr:cNvPicPr>
          </xdr:nvPicPr>
          <xdr:blipFill>
            <a:blip xmlns:r="http://schemas.openxmlformats.org/officeDocument/2006/relationships" r:embed="rId3"/>
            <a:srcRect/>
            <a:stretch>
              <a:fillRect/>
            </a:stretch>
          </xdr:blipFill>
          <xdr:spPr bwMode="auto">
            <a:xfrm>
              <a:off x="600075" y="2784157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88" name="Picture 36304">
              <a:extLst>
                <a:ext uri="{FF2B5EF4-FFF2-40B4-BE49-F238E27FC236}">
                  <a16:creationId xmlns:a16="http://schemas.microsoft.com/office/drawing/2014/main" id="{B02853BE-7F32-D368-0597-542AB6BFEC52}"/>
                </a:ext>
              </a:extLst>
            </xdr:cNvPr>
            <xdr:cNvPicPr>
              <a:picLocks noChangeAspect="1" noChangeArrowheads="1"/>
              <a:extLst>
                <a:ext uri="{84589F7E-364E-4C9E-8A38-B11213B215E9}">
                  <a14:cameraTool cellRange="Ram_1!$B$7:$Q$33" spid="_x0000_s2727750"/>
                </a:ext>
              </a:extLst>
            </xdr:cNvPicPr>
          </xdr:nvPicPr>
          <xdr:blipFill>
            <a:blip xmlns:r="http://schemas.openxmlformats.org/officeDocument/2006/relationships" r:embed="rId24"/>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161925</xdr:rowOff>
        </xdr:from>
        <xdr:to>
          <xdr:col>40</xdr:col>
          <xdr:colOff>285750</xdr:colOff>
          <xdr:row>35</xdr:row>
          <xdr:rowOff>129540</xdr:rowOff>
        </xdr:to>
        <xdr:pic>
          <xdr:nvPicPr>
            <xdr:cNvPr id="2305489" name="Picture 36305">
              <a:extLst>
                <a:ext uri="{FF2B5EF4-FFF2-40B4-BE49-F238E27FC236}">
                  <a16:creationId xmlns:a16="http://schemas.microsoft.com/office/drawing/2014/main" id="{E5F93B1A-CDD7-EE45-24DF-A4FF280FC734}"/>
                </a:ext>
              </a:extLst>
            </xdr:cNvPr>
            <xdr:cNvPicPr>
              <a:picLocks noChangeAspect="1" noChangeArrowheads="1"/>
              <a:extLst>
                <a:ext uri="{84589F7E-364E-4C9E-8A38-B11213B215E9}">
                  <a14:cameraTool cellRange="Ram_1!$AA$6:$AR$30" spid="_x0000_s2727751"/>
                </a:ext>
              </a:extLst>
            </xdr:cNvPicPr>
          </xdr:nvPicPr>
          <xdr:blipFill>
            <a:blip xmlns:r="http://schemas.openxmlformats.org/officeDocument/2006/relationships" r:embed="rId25"/>
            <a:srcRect/>
            <a:stretch>
              <a:fillRect/>
            </a:stretch>
          </xdr:blipFill>
          <xdr:spPr bwMode="auto">
            <a:xfrm>
              <a:off x="7934325" y="2181225"/>
              <a:ext cx="4572000"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90" name="Picture 36306">
              <a:extLst>
                <a:ext uri="{FF2B5EF4-FFF2-40B4-BE49-F238E27FC236}">
                  <a16:creationId xmlns:a16="http://schemas.microsoft.com/office/drawing/2014/main" id="{4AB79DF3-19A7-95F6-858C-6502ABBA0A82}"/>
                </a:ext>
              </a:extLst>
            </xdr:cNvPr>
            <xdr:cNvPicPr>
              <a:picLocks noChangeAspect="1" noChangeArrowheads="1"/>
              <a:extLst>
                <a:ext uri="{84589F7E-364E-4C9E-8A38-B11213B215E9}">
                  <a14:cameraTool cellRange="Ram_1!$S$24:$Y$32" spid="_x0000_s2727752"/>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91" name="Picture 36307">
              <a:extLst>
                <a:ext uri="{FF2B5EF4-FFF2-40B4-BE49-F238E27FC236}">
                  <a16:creationId xmlns:a16="http://schemas.microsoft.com/office/drawing/2014/main" id="{74385FCC-D528-ED6D-2C35-B5D1FC8123A1}"/>
                </a:ext>
              </a:extLst>
            </xdr:cNvPr>
            <xdr:cNvPicPr>
              <a:picLocks noChangeAspect="1" noChangeArrowheads="1"/>
              <a:extLst>
                <a:ext uri="{84589F7E-364E-4C9E-8A38-B11213B215E9}">
                  <a14:cameraTool cellRange="Ram_2!$B$7:$Q$33" spid="_x0000_s2727753"/>
                </a:ext>
              </a:extLst>
            </xdr:cNvPicPr>
          </xdr:nvPicPr>
          <xdr:blipFill>
            <a:blip xmlns:r="http://schemas.openxmlformats.org/officeDocument/2006/relationships" r:embed="rId4"/>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92" name="Picture 36308">
              <a:extLst>
                <a:ext uri="{FF2B5EF4-FFF2-40B4-BE49-F238E27FC236}">
                  <a16:creationId xmlns:a16="http://schemas.microsoft.com/office/drawing/2014/main" id="{BB3C11E4-2873-CB03-B454-1946FBDA4EBD}"/>
                </a:ext>
              </a:extLst>
            </xdr:cNvPr>
            <xdr:cNvPicPr>
              <a:picLocks noChangeAspect="1" noChangeArrowheads="1"/>
              <a:extLst>
                <a:ext uri="{84589F7E-364E-4C9E-8A38-B11213B215E9}">
                  <a14:cameraTool cellRange="Ram_2!$AA$6:$AR$30" spid="_x0000_s2727754"/>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728301"/>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728302"/>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728303"/>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728304"/>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728305"/>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728306"/>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728307"/>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728308"/>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728309"/>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728310"/>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728311"/>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728312"/>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728313"/>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728314"/>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728315"/>
                </a:ext>
              </a:extLst>
            </xdr:cNvPicPr>
          </xdr:nvPicPr>
          <xdr:blipFill>
            <a:blip xmlns:r="http://schemas.openxmlformats.org/officeDocument/2006/relationships" r:embed="rId8"/>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728316"/>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728317"/>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728318"/>
                </a:ext>
              </a:extLst>
            </xdr:cNvPicPr>
          </xdr:nvPicPr>
          <xdr:blipFill>
            <a:blip xmlns:r="http://schemas.openxmlformats.org/officeDocument/2006/relationships" r:embed="rId9"/>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728319"/>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728320"/>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728321"/>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728322"/>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728323"/>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728324"/>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728325"/>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728326"/>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28575</xdr:colOff>
          <xdr:row>33</xdr:row>
          <xdr:rowOff>28575</xdr:rowOff>
        </xdr:from>
        <xdr:to>
          <xdr:col>26</xdr:col>
          <xdr:colOff>402475</xdr:colOff>
          <xdr:row>40</xdr:row>
          <xdr:rowOff>225137</xdr:rowOff>
        </xdr:to>
        <mc:AlternateContent>
          <mc:Choice Requires="a14">
            <xdr:pic>
              <xdr:nvPicPr>
                <xdr:cNvPr id="15" name="Obrázek 56">
                  <a:extLst>
                    <a:ext uri="{FF2B5EF4-FFF2-40B4-BE49-F238E27FC236}">
                      <a16:creationId xmlns:a16="http://schemas.microsoft.com/office/drawing/2014/main" id="{54616A5F-AF2F-4FEC-9241-E0A62C438811}"/>
                    </a:ext>
                  </a:extLst>
                </xdr:cNvPr>
                <xdr:cNvPicPr>
                  <a:picLocks noChangeAspect="1" noChangeArrowheads="1"/>
                  <a:extLst>
                    <a:ext uri="{84589F7E-364E-4C9E-8A38-B11213B215E9}">
                      <a14:cameraTool cellRange="Ram_1!$S$25" spid="_x0000_s2701041"/>
                    </a:ext>
                  </a:extLst>
                </xdr:cNvPicPr>
              </xdr:nvPicPr>
              <xdr:blipFill>
                <a:blip xmlns:r="http://schemas.openxmlformats.org/officeDocument/2006/relationships" r:embed="rId1"/>
                <a:srcRect/>
                <a:stretch>
                  <a:fillRect/>
                </a:stretch>
              </xdr:blipFill>
              <xdr:spPr bwMode="auto">
                <a:xfrm>
                  <a:off x="6349711" y="6765348"/>
                  <a:ext cx="2452082" cy="140883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18</xdr:col>
          <xdr:colOff>100446</xdr:colOff>
          <xdr:row>72</xdr:row>
          <xdr:rowOff>77066</xdr:rowOff>
        </xdr:to>
        <mc:AlternateContent>
          <mc:Choice Requires="a14">
            <xdr:pic>
              <xdr:nvPicPr>
                <xdr:cNvPr id="16" name="Obrázek 57">
                  <a:extLst>
                    <a:ext uri="{FF2B5EF4-FFF2-40B4-BE49-F238E27FC236}">
                      <a16:creationId xmlns:a16="http://schemas.microsoft.com/office/drawing/2014/main" id="{699C5943-D1ED-42AE-B2D6-9132EB86811F}"/>
                    </a:ext>
                  </a:extLst>
                </xdr:cNvPr>
                <xdr:cNvPicPr>
                  <a:picLocks noChangeAspect="1" noChangeArrowheads="1"/>
                  <a:extLst>
                    <a:ext uri="{84589F7E-364E-4C9E-8A38-B11213B215E9}">
                      <a14:cameraTool cellRange="Ram_2!$AA$6:$AP$28" spid="_x0000_s2701042"/>
                    </a:ext>
                  </a:extLst>
                </xdr:cNvPicPr>
              </xdr:nvPicPr>
              <xdr:blipFill>
                <a:blip xmlns:r="http://schemas.openxmlformats.org/officeDocument/2006/relationships" r:embed="rId2"/>
                <a:srcRect/>
                <a:stretch>
                  <a:fillRect/>
                </a:stretch>
              </xdr:blipFill>
              <xdr:spPr bwMode="auto">
                <a:xfrm>
                  <a:off x="173182" y="9161318"/>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18</xdr:col>
          <xdr:colOff>100446</xdr:colOff>
          <xdr:row>108</xdr:row>
          <xdr:rowOff>77066</xdr:rowOff>
        </xdr:to>
        <mc:AlternateContent>
          <mc:Choice Requires="a14">
            <xdr:pic>
              <xdr:nvPicPr>
                <xdr:cNvPr id="17" name="Obrázek 59">
                  <a:extLst>
                    <a:ext uri="{FF2B5EF4-FFF2-40B4-BE49-F238E27FC236}">
                      <a16:creationId xmlns:a16="http://schemas.microsoft.com/office/drawing/2014/main" id="{8AD9180F-6774-42F6-92CD-97E57719F3DC}"/>
                    </a:ext>
                  </a:extLst>
                </xdr:cNvPr>
                <xdr:cNvPicPr>
                  <a:picLocks noChangeAspect="1" noChangeArrowheads="1"/>
                  <a:extLst>
                    <a:ext uri="{84589F7E-364E-4C9E-8A38-B11213B215E9}">
                      <a14:cameraTool cellRange="Ram_3!$AA$6:$AP$28" spid="_x0000_s2701043"/>
                    </a:ext>
                  </a:extLst>
                </xdr:cNvPicPr>
              </xdr:nvPicPr>
              <xdr:blipFill>
                <a:blip xmlns:r="http://schemas.openxmlformats.org/officeDocument/2006/relationships" r:embed="rId3"/>
                <a:srcRect/>
                <a:stretch>
                  <a:fillRect/>
                </a:stretch>
              </xdr:blipFill>
              <xdr:spPr bwMode="auto">
                <a:xfrm>
                  <a:off x="173182" y="16504227"/>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18</xdr:col>
          <xdr:colOff>100446</xdr:colOff>
          <xdr:row>144</xdr:row>
          <xdr:rowOff>77066</xdr:rowOff>
        </xdr:to>
        <mc:AlternateContent>
          <mc:Choice Requires="a14">
            <xdr:pic>
              <xdr:nvPicPr>
                <xdr:cNvPr id="18" name="Obrázek 61">
                  <a:extLst>
                    <a:ext uri="{FF2B5EF4-FFF2-40B4-BE49-F238E27FC236}">
                      <a16:creationId xmlns:a16="http://schemas.microsoft.com/office/drawing/2014/main" id="{FB5EB656-2FE6-4C57-8C35-52B6C3AB180A}"/>
                    </a:ext>
                  </a:extLst>
                </xdr:cNvPr>
                <xdr:cNvPicPr>
                  <a:picLocks noChangeAspect="1" noChangeArrowheads="1"/>
                  <a:extLst>
                    <a:ext uri="{84589F7E-364E-4C9E-8A38-B11213B215E9}">
                      <a14:cameraTool cellRange="Ram_4!$AA$6:$AP$28" spid="_x0000_s2701044"/>
                    </a:ext>
                  </a:extLst>
                </xdr:cNvPicPr>
              </xdr:nvPicPr>
              <xdr:blipFill>
                <a:blip xmlns:r="http://schemas.openxmlformats.org/officeDocument/2006/relationships" r:embed="rId4"/>
                <a:srcRect/>
                <a:stretch>
                  <a:fillRect/>
                </a:stretch>
              </xdr:blipFill>
              <xdr:spPr bwMode="auto">
                <a:xfrm>
                  <a:off x="173182" y="23847136"/>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153</xdr:row>
          <xdr:rowOff>0</xdr:rowOff>
        </xdr:from>
        <xdr:to>
          <xdr:col>18</xdr:col>
          <xdr:colOff>100446</xdr:colOff>
          <xdr:row>180</xdr:row>
          <xdr:rowOff>77065</xdr:rowOff>
        </xdr:to>
        <mc:AlternateContent>
          <mc:Choice Requires="a14">
            <xdr:pic>
              <xdr:nvPicPr>
                <xdr:cNvPr id="19" name="Obrázek 63">
                  <a:extLst>
                    <a:ext uri="{FF2B5EF4-FFF2-40B4-BE49-F238E27FC236}">
                      <a16:creationId xmlns:a16="http://schemas.microsoft.com/office/drawing/2014/main" id="{B093E380-4350-4C03-884A-95E70C171FD4}"/>
                    </a:ext>
                  </a:extLst>
                </xdr:cNvPr>
                <xdr:cNvPicPr>
                  <a:picLocks noChangeAspect="1" noChangeArrowheads="1"/>
                  <a:extLst>
                    <a:ext uri="{84589F7E-364E-4C9E-8A38-B11213B215E9}">
                      <a14:cameraTool cellRange="Ram_5!$AA$6:$AP$28" spid="_x0000_s2701045"/>
                    </a:ext>
                  </a:extLst>
                </xdr:cNvPicPr>
              </xdr:nvPicPr>
              <xdr:blipFill>
                <a:blip xmlns:r="http://schemas.openxmlformats.org/officeDocument/2006/relationships" r:embed="rId5"/>
                <a:srcRect/>
                <a:stretch>
                  <a:fillRect/>
                </a:stretch>
              </xdr:blipFill>
              <xdr:spPr bwMode="auto">
                <a:xfrm>
                  <a:off x="173182" y="31190045"/>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18</xdr:col>
          <xdr:colOff>100446</xdr:colOff>
          <xdr:row>216</xdr:row>
          <xdr:rowOff>77066</xdr:rowOff>
        </xdr:to>
        <mc:AlternateContent>
          <mc:Choice Requires="a14">
            <xdr:pic>
              <xdr:nvPicPr>
                <xdr:cNvPr id="20" name="Obrázek 65">
                  <a:extLst>
                    <a:ext uri="{FF2B5EF4-FFF2-40B4-BE49-F238E27FC236}">
                      <a16:creationId xmlns:a16="http://schemas.microsoft.com/office/drawing/2014/main" id="{D6EB714D-9B84-456C-BC2E-1FDB790F82C0}"/>
                    </a:ext>
                  </a:extLst>
                </xdr:cNvPr>
                <xdr:cNvPicPr>
                  <a:picLocks noChangeAspect="1" noChangeArrowheads="1"/>
                  <a:extLst>
                    <a:ext uri="{84589F7E-364E-4C9E-8A38-B11213B215E9}">
                      <a14:cameraTool cellRange="Ram_6!$AA$6:$AP$28" spid="_x0000_s2701046"/>
                    </a:ext>
                  </a:extLst>
                </xdr:cNvPicPr>
              </xdr:nvPicPr>
              <xdr:blipFill>
                <a:blip xmlns:r="http://schemas.openxmlformats.org/officeDocument/2006/relationships" r:embed="rId6"/>
                <a:srcRect/>
                <a:stretch>
                  <a:fillRect/>
                </a:stretch>
              </xdr:blipFill>
              <xdr:spPr bwMode="auto">
                <a:xfrm>
                  <a:off x="173182" y="38532955"/>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69</xdr:row>
          <xdr:rowOff>-1</xdr:rowOff>
        </xdr:from>
        <xdr:to>
          <xdr:col>27</xdr:col>
          <xdr:colOff>50965</xdr:colOff>
          <xdr:row>76</xdr:row>
          <xdr:rowOff>259771</xdr:rowOff>
        </xdr:to>
        <mc:AlternateContent>
          <mc:Choice Requires="a14">
            <xdr:pic>
              <xdr:nvPicPr>
                <xdr:cNvPr id="22" name="Obrázek 69">
                  <a:extLst>
                    <a:ext uri="{FF2B5EF4-FFF2-40B4-BE49-F238E27FC236}">
                      <a16:creationId xmlns:a16="http://schemas.microsoft.com/office/drawing/2014/main" id="{451DC1B3-5D3B-4B23-B5B2-6C10E1AE6AD8}"/>
                    </a:ext>
                  </a:extLst>
                </xdr:cNvPr>
                <xdr:cNvPicPr>
                  <a:picLocks noChangeAspect="1" noChangeArrowheads="1"/>
                  <a:extLst>
                    <a:ext uri="{84589F7E-364E-4C9E-8A38-B11213B215E9}">
                      <a14:cameraTool cellRange="Ram_2!$S$25" spid="_x0000_s2701047"/>
                    </a:ext>
                  </a:extLst>
                </xdr:cNvPicPr>
              </xdr:nvPicPr>
              <xdr:blipFill>
                <a:blip xmlns:r="http://schemas.openxmlformats.org/officeDocument/2006/relationships" r:embed="rId1"/>
                <a:srcRect/>
                <a:stretch>
                  <a:fillRect/>
                </a:stretch>
              </xdr:blipFill>
              <xdr:spPr bwMode="auto">
                <a:xfrm>
                  <a:off x="6321136" y="14079681"/>
                  <a:ext cx="2562102" cy="147204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105</xdr:row>
          <xdr:rowOff>0</xdr:rowOff>
        </xdr:from>
        <xdr:to>
          <xdr:col>27</xdr:col>
          <xdr:colOff>111249</xdr:colOff>
          <xdr:row>113</xdr:row>
          <xdr:rowOff>34637</xdr:rowOff>
        </xdr:to>
        <mc:AlternateContent>
          <mc:Choice Requires="a14">
            <xdr:pic>
              <xdr:nvPicPr>
                <xdr:cNvPr id="23" name="Obrázek 70">
                  <a:extLst>
                    <a:ext uri="{FF2B5EF4-FFF2-40B4-BE49-F238E27FC236}">
                      <a16:creationId xmlns:a16="http://schemas.microsoft.com/office/drawing/2014/main" id="{22612F7D-6517-4E51-B356-AD793389FB3A}"/>
                    </a:ext>
                  </a:extLst>
                </xdr:cNvPr>
                <xdr:cNvPicPr>
                  <a:picLocks noChangeAspect="1" noChangeArrowheads="1"/>
                  <a:extLst>
                    <a:ext uri="{84589F7E-364E-4C9E-8A38-B11213B215E9}">
                      <a14:cameraTool cellRange="Ram_3!$S$25" spid="_x0000_s2701048"/>
                    </a:ext>
                  </a:extLst>
                </xdr:cNvPicPr>
              </xdr:nvPicPr>
              <xdr:blipFill>
                <a:blip xmlns:r="http://schemas.openxmlformats.org/officeDocument/2006/relationships" r:embed="rId1"/>
                <a:srcRect/>
                <a:stretch>
                  <a:fillRect/>
                </a:stretch>
              </xdr:blipFill>
              <xdr:spPr bwMode="auto">
                <a:xfrm>
                  <a:off x="6321135" y="21422591"/>
                  <a:ext cx="2622387" cy="15066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141</xdr:row>
          <xdr:rowOff>0</xdr:rowOff>
        </xdr:from>
        <xdr:to>
          <xdr:col>27</xdr:col>
          <xdr:colOff>34635</xdr:colOff>
          <xdr:row>148</xdr:row>
          <xdr:rowOff>250391</xdr:rowOff>
        </xdr:to>
        <mc:AlternateContent>
          <mc:Choice Requires="a14">
            <xdr:pic>
              <xdr:nvPicPr>
                <xdr:cNvPr id="24" name="Obrázek 71">
                  <a:extLst>
                    <a:ext uri="{FF2B5EF4-FFF2-40B4-BE49-F238E27FC236}">
                      <a16:creationId xmlns:a16="http://schemas.microsoft.com/office/drawing/2014/main" id="{4EDB4C7E-EC95-4E66-8E17-031C9F45B329}"/>
                    </a:ext>
                  </a:extLst>
                </xdr:cNvPr>
                <xdr:cNvPicPr>
                  <a:picLocks noChangeAspect="1" noChangeArrowheads="1"/>
                  <a:extLst>
                    <a:ext uri="{84589F7E-364E-4C9E-8A38-B11213B215E9}">
                      <a14:cameraTool cellRange="Ram_4!$S$25" spid="_x0000_s2701049"/>
                    </a:ext>
                  </a:extLst>
                </xdr:cNvPicPr>
              </xdr:nvPicPr>
              <xdr:blipFill>
                <a:blip xmlns:r="http://schemas.openxmlformats.org/officeDocument/2006/relationships" r:embed="rId1"/>
                <a:srcRect/>
                <a:stretch>
                  <a:fillRect/>
                </a:stretch>
              </xdr:blipFill>
              <xdr:spPr bwMode="auto">
                <a:xfrm>
                  <a:off x="6321135" y="28765500"/>
                  <a:ext cx="2545773" cy="146266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51954</xdr:colOff>
          <xdr:row>176</xdr:row>
          <xdr:rowOff>155863</xdr:rowOff>
        </xdr:from>
        <xdr:to>
          <xdr:col>27</xdr:col>
          <xdr:colOff>102920</xdr:colOff>
          <xdr:row>184</xdr:row>
          <xdr:rowOff>242454</xdr:rowOff>
        </xdr:to>
        <mc:AlternateContent>
          <mc:Choice Requires="a14">
            <xdr:pic>
              <xdr:nvPicPr>
                <xdr:cNvPr id="25" name="Obrázek 72">
                  <a:extLst>
                    <a:ext uri="{FF2B5EF4-FFF2-40B4-BE49-F238E27FC236}">
                      <a16:creationId xmlns:a16="http://schemas.microsoft.com/office/drawing/2014/main" id="{6A7932D2-5987-4473-9F55-C8222BD1ECF5}"/>
                    </a:ext>
                  </a:extLst>
                </xdr:cNvPr>
                <xdr:cNvPicPr>
                  <a:picLocks noChangeAspect="1" noChangeArrowheads="1"/>
                  <a:extLst>
                    <a:ext uri="{84589F7E-364E-4C9E-8A38-B11213B215E9}">
                      <a14:cameraTool cellRange="Ram_5!$S$25" spid="_x0000_s2701050"/>
                    </a:ext>
                  </a:extLst>
                </xdr:cNvPicPr>
              </xdr:nvPicPr>
              <xdr:blipFill>
                <a:blip xmlns:r="http://schemas.openxmlformats.org/officeDocument/2006/relationships" r:embed="rId1"/>
                <a:srcRect/>
                <a:stretch>
                  <a:fillRect/>
                </a:stretch>
              </xdr:blipFill>
              <xdr:spPr bwMode="auto">
                <a:xfrm>
                  <a:off x="6373090" y="36091090"/>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18</xdr:col>
          <xdr:colOff>106796</xdr:colOff>
          <xdr:row>36</xdr:row>
          <xdr:rowOff>160674</xdr:rowOff>
        </xdr:to>
        <mc:AlternateContent>
          <mc:Choice Requires="a14">
            <xdr:pic>
              <xdr:nvPicPr>
                <xdr:cNvPr id="26" name="Obrázek 74">
                  <a:extLst>
                    <a:ext uri="{FF2B5EF4-FFF2-40B4-BE49-F238E27FC236}">
                      <a16:creationId xmlns:a16="http://schemas.microsoft.com/office/drawing/2014/main" id="{2C3DA179-CB2E-4A71-8903-8BB7BCB1A55D}"/>
                    </a:ext>
                  </a:extLst>
                </xdr:cNvPr>
                <xdr:cNvPicPr>
                  <a:picLocks noChangeAspect="1" noChangeArrowheads="1"/>
                  <a:extLst>
                    <a:ext uri="{84589F7E-364E-4C9E-8A38-B11213B215E9}">
                      <a14:cameraTool cellRange="Ram_1!$AA$6:$AP$28" spid="_x0000_s2701051"/>
                    </a:ext>
                  </a:extLst>
                </xdr:cNvPicPr>
              </xdr:nvPicPr>
              <xdr:blipFill>
                <a:blip xmlns:r="http://schemas.openxmlformats.org/officeDocument/2006/relationships" r:embed="rId7"/>
                <a:srcRect/>
                <a:stretch>
                  <a:fillRect/>
                </a:stretch>
              </xdr:blipFill>
              <xdr:spPr bwMode="auto">
                <a:xfrm>
                  <a:off x="173182" y="1818409"/>
                  <a:ext cx="5683250" cy="559858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277091</xdr:colOff>
          <xdr:row>213</xdr:row>
          <xdr:rowOff>34637</xdr:rowOff>
        </xdr:from>
        <xdr:to>
          <xdr:col>27</xdr:col>
          <xdr:colOff>33648</xdr:colOff>
          <xdr:row>221</xdr:row>
          <xdr:rowOff>34637</xdr:rowOff>
        </xdr:to>
        <mc:AlternateContent>
          <mc:Choice Requires="a14">
            <xdr:pic>
              <xdr:nvPicPr>
                <xdr:cNvPr id="28" name="Obrázek 72">
                  <a:extLst>
                    <a:ext uri="{FF2B5EF4-FFF2-40B4-BE49-F238E27FC236}">
                      <a16:creationId xmlns:a16="http://schemas.microsoft.com/office/drawing/2014/main" id="{84FA87DD-6E6E-4549-A33A-1733975BE935}"/>
                    </a:ext>
                  </a:extLst>
                </xdr:cNvPr>
                <xdr:cNvPicPr>
                  <a:picLocks noChangeAspect="1" noChangeArrowheads="1"/>
                  <a:extLst>
                    <a:ext uri="{84589F7E-364E-4C9E-8A38-B11213B215E9}">
                      <a14:cameraTool cellRange="Ram_6!$S$25" spid="_x0000_s2701052"/>
                    </a:ext>
                  </a:extLst>
                </xdr:cNvPicPr>
              </xdr:nvPicPr>
              <xdr:blipFill>
                <a:blip xmlns:r="http://schemas.openxmlformats.org/officeDocument/2006/relationships" r:embed="rId1"/>
                <a:srcRect/>
                <a:stretch>
                  <a:fillRect/>
                </a:stretch>
              </xdr:blipFill>
              <xdr:spPr bwMode="auto">
                <a:xfrm>
                  <a:off x="6303818" y="43485955"/>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209550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137308</xdr:colOff>
      <xdr:row>55</xdr:row>
      <xdr:rowOff>195447</xdr:rowOff>
    </xdr:from>
    <xdr:to>
      <xdr:col>19</xdr:col>
      <xdr:colOff>571501</xdr:colOff>
      <xdr:row>70</xdr:row>
      <xdr:rowOff>138544</xdr:rowOff>
    </xdr:to>
    <xdr:sp macro="" textlink="">
      <xdr:nvSpPr>
        <xdr:cNvPr id="3" name="TextovéPole 2">
          <a:extLst>
            <a:ext uri="{FF2B5EF4-FFF2-40B4-BE49-F238E27FC236}">
              <a16:creationId xmlns:a16="http://schemas.microsoft.com/office/drawing/2014/main" id="{5DCF367F-D118-4AD9-AEFA-95CDE205CBA1}"/>
            </a:ext>
          </a:extLst>
        </xdr:cNvPr>
        <xdr:cNvSpPr txBox="1"/>
      </xdr:nvSpPr>
      <xdr:spPr>
        <a:xfrm>
          <a:off x="2094263" y="8923811"/>
          <a:ext cx="6045283" cy="150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Jakmile</a:t>
          </a:r>
          <a:r>
            <a:rPr lang="cs-CZ" sz="1100" baseline="0"/>
            <a:t> má aspoň jeden rámeček velikost na paletu - vždy se vše naskládá na adekvátní paletu a vybere nejnižší cena</a:t>
          </a:r>
        </a:p>
        <a:p>
          <a:endParaRPr lang="cs-CZ" sz="1100" baseline="0"/>
        </a:p>
        <a:p>
          <a:r>
            <a:rPr lang="cs-CZ" sz="1100" baseline="0"/>
            <a:t>Pokud je 3  a více balíků B - vyplatí se paleta </a:t>
          </a:r>
          <a:endParaRPr lang="cs-CZ" sz="1100" b="1" baseline="0"/>
        </a:p>
        <a:p>
          <a:r>
            <a:rPr lang="cs-CZ" sz="1100" b="0" baseline="0"/>
            <a:t>Pokud je méně než 3 balíků B  pak se vyplatí kombinace balíku A a B</a:t>
          </a:r>
          <a:endParaRPr lang="cs-CZ" sz="1100" b="0" baseline="0">
            <a:solidFill>
              <a:srgbClr val="FF0000"/>
            </a:solidFill>
          </a:endParaRPr>
        </a:p>
        <a:p>
          <a:endParaRPr lang="cs-CZ" sz="1100" baseline="0"/>
        </a:p>
        <a:p>
          <a:r>
            <a:rPr lang="cs-CZ" sz="1100"/>
            <a:t>Pokud je  aspoň jeden rámeček do balíku B, lze</a:t>
          </a:r>
          <a:r>
            <a:rPr lang="cs-CZ" sz="1100" baseline="0"/>
            <a:t> k němu přihodit balík rámeček z balíku A.</a:t>
          </a:r>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178593</xdr:colOff>
      <xdr:row>16</xdr:row>
      <xdr:rowOff>130968</xdr:rowOff>
    </xdr:from>
    <xdr:to>
      <xdr:col>6</xdr:col>
      <xdr:colOff>1601851</xdr:colOff>
      <xdr:row>19</xdr:row>
      <xdr:rowOff>190107</xdr:rowOff>
    </xdr:to>
    <xdr:pic>
      <xdr:nvPicPr>
        <xdr:cNvPr id="3" name="Obrázek 2">
          <a:extLst>
            <a:ext uri="{FF2B5EF4-FFF2-40B4-BE49-F238E27FC236}">
              <a16:creationId xmlns:a16="http://schemas.microsoft.com/office/drawing/2014/main" id="{2F2ED358-AB23-45C9-8B8C-70F012D4A42E}"/>
            </a:ext>
          </a:extLst>
        </xdr:cNvPr>
        <xdr:cNvPicPr>
          <a:picLocks noChangeAspect="1"/>
        </xdr:cNvPicPr>
      </xdr:nvPicPr>
      <xdr:blipFill>
        <a:blip xmlns:r="http://schemas.openxmlformats.org/officeDocument/2006/relationships" r:embed="rId2"/>
        <a:stretch>
          <a:fillRect/>
        </a:stretch>
      </xdr:blipFill>
      <xdr:spPr>
        <a:xfrm>
          <a:off x="7084218" y="2821781"/>
          <a:ext cx="3042508" cy="102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274320</xdr:colOff>
      <xdr:row>0</xdr:row>
      <xdr:rowOff>144780</xdr:rowOff>
    </xdr:from>
    <xdr:to>
      <xdr:col>4</xdr:col>
      <xdr:colOff>244029</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274320" y="144780"/>
          <a:ext cx="2179509" cy="45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26</xdr:row>
          <xdr:rowOff>628650</xdr:rowOff>
        </xdr:from>
        <xdr:to>
          <xdr:col>12</xdr:col>
          <xdr:colOff>428625</xdr:colOff>
          <xdr:row>28</xdr:row>
          <xdr:rowOff>171450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287844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2699458"/>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2699459"/>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15</xdr:row>
          <xdr:rowOff>133350</xdr:rowOff>
        </xdr:from>
        <xdr:to>
          <xdr:col>40</xdr:col>
          <xdr:colOff>152400</xdr:colOff>
          <xdr:row>16</xdr:row>
          <xdr:rowOff>152400</xdr:rowOff>
        </xdr:to>
        <xdr:pic>
          <xdr:nvPicPr>
            <xdr:cNvPr id="2699394" name="Obrázek 2">
              <a:extLst>
                <a:ext uri="{FF2B5EF4-FFF2-40B4-BE49-F238E27FC236}">
                  <a16:creationId xmlns:a16="http://schemas.microsoft.com/office/drawing/2014/main" id="{F733870A-796E-89CE-C72E-8AC202679605}"/>
                </a:ext>
              </a:extLst>
            </xdr:cNvPr>
            <xdr:cNvPicPr>
              <a:picLocks noChangeAspect="1" noChangeArrowheads="1"/>
              <a:extLst>
                <a:ext uri="{84589F7E-364E-4C9E-8A38-B11213B215E9}">
                  <a14:cameraTool cellRange="kombinace_1!$CH$13" spid="_x0000_s2699460"/>
                </a:ext>
              </a:extLst>
            </xdr:cNvPicPr>
          </xdr:nvPicPr>
          <xdr:blipFill>
            <a:blip xmlns:r="http://schemas.openxmlformats.org/officeDocument/2006/relationships" r:embed="rId2"/>
            <a:srcRect/>
            <a:stretch>
              <a:fillRect/>
            </a:stretch>
          </xdr:blipFill>
          <xdr:spPr bwMode="auto">
            <a:xfrm>
              <a:off x="11001375" y="3562350"/>
              <a:ext cx="5000625" cy="247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19050</xdr:rowOff>
        </xdr:from>
        <xdr:to>
          <xdr:col>33</xdr:col>
          <xdr:colOff>76200</xdr:colOff>
          <xdr:row>26</xdr:row>
          <xdr:rowOff>190500</xdr:rowOff>
        </xdr:to>
        <xdr:pic>
          <xdr:nvPicPr>
            <xdr:cNvPr id="2699395" name="Obrázek 3">
              <a:extLst>
                <a:ext uri="{FF2B5EF4-FFF2-40B4-BE49-F238E27FC236}">
                  <a16:creationId xmlns:a16="http://schemas.microsoft.com/office/drawing/2014/main" id="{1E89FA81-C3C2-102A-87C9-2DDCE830721E}"/>
                </a:ext>
              </a:extLst>
            </xdr:cNvPr>
            <xdr:cNvPicPr>
              <a:picLocks noChangeAspect="1" noChangeArrowheads="1"/>
              <a:extLst>
                <a:ext uri="{84589F7E-364E-4C9E-8A38-B11213B215E9}">
                  <a14:cameraTool cellRange="kombinace_1!$CH$14" spid="_x0000_s2699461"/>
                </a:ext>
              </a:extLst>
            </xdr:cNvPicPr>
          </xdr:nvPicPr>
          <xdr:blipFill>
            <a:blip xmlns:r="http://schemas.openxmlformats.org/officeDocument/2006/relationships" r:embed="rId2"/>
            <a:srcRect/>
            <a:stretch>
              <a:fillRect/>
            </a:stretch>
          </xdr:blipFill>
          <xdr:spPr bwMode="auto">
            <a:xfrm>
              <a:off x="13458825" y="1133475"/>
              <a:ext cx="285750" cy="5000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106469</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2517881"/>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28998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2517882"/>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447675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314325</xdr:colOff>
          <xdr:row>7</xdr:row>
          <xdr:rowOff>238125</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97707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2586196"/>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133350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2586197"/>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200025</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2615664"/>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2615665"/>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6.xml"/><Relationship Id="rId7" Type="http://schemas.openxmlformats.org/officeDocument/2006/relationships/ctrlProp" Target="../ctrlProps/ctrlProp20.xml"/><Relationship Id="rId2" Type="http://schemas.openxmlformats.org/officeDocument/2006/relationships/vmlDrawing" Target="../drawings/vmlDrawing10.vml"/><Relationship Id="rId1" Type="http://schemas.openxmlformats.org/officeDocument/2006/relationships/drawing" Target="../drawings/drawing12.xm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trlProp" Target="../ctrlProps/ctrlProp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trlProp" Target="../ctrlProps/ctrlProp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1.bin"/><Relationship Id="rId4" Type="http://schemas.openxmlformats.org/officeDocument/2006/relationships/ctrlProp" Target="../ctrlProps/ctrlProp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tabSelected="1" workbookViewId="0"/>
  </sheetViews>
  <sheetFormatPr defaultColWidth="0" defaultRowHeight="11.85" customHeight="1" zeroHeight="1"/>
  <cols>
    <col min="1" max="1" width="8" style="186" customWidth="1"/>
    <col min="2" max="2" width="3" style="186" customWidth="1"/>
    <col min="3" max="3" width="8" style="186" customWidth="1"/>
    <col min="4" max="4" width="3" style="186" customWidth="1"/>
    <col min="5" max="5" width="8" style="186" customWidth="1"/>
    <col min="6" max="6" width="3" style="186" customWidth="1"/>
    <col min="7" max="7" width="8" style="186" customWidth="1"/>
    <col min="8" max="9" width="2" style="186" customWidth="1"/>
    <col min="10" max="10" width="3.42578125" style="186" customWidth="1"/>
    <col min="11" max="11" width="7.5703125" style="186" customWidth="1"/>
    <col min="12" max="12" width="3.140625" style="186" customWidth="1"/>
    <col min="13" max="13" width="7.5703125" style="186" customWidth="1"/>
    <col min="14" max="14" width="3.140625" style="186" customWidth="1"/>
    <col min="15" max="15" width="6.5703125" style="186" customWidth="1"/>
    <col min="16" max="16" width="5.5703125" style="186" customWidth="1"/>
    <col min="17" max="17" width="8" style="186" customWidth="1"/>
    <col min="18" max="18" width="3.140625" style="186" customWidth="1"/>
    <col min="19" max="20" width="8" style="186" customWidth="1"/>
    <col min="21" max="21" width="5.7109375" style="186" customWidth="1"/>
    <col min="22" max="22" width="8" style="186" customWidth="1"/>
    <col min="23" max="23" width="3.5703125" style="186" hidden="1" customWidth="1"/>
    <col min="24" max="32" width="0" style="186" hidden="1" customWidth="1"/>
    <col min="33" max="16384" width="8" style="186" hidden="1"/>
  </cols>
  <sheetData>
    <row r="1" spans="1:32" ht="11.85" customHeight="1">
      <c r="A1" s="185" t="s">
        <v>377</v>
      </c>
      <c r="B1" s="185"/>
      <c r="C1" s="185"/>
      <c r="D1" s="185"/>
      <c r="E1" s="185"/>
      <c r="F1" s="185"/>
      <c r="G1" s="185"/>
      <c r="H1" s="185"/>
      <c r="I1" s="185"/>
      <c r="J1" s="185"/>
      <c r="K1" s="185"/>
      <c r="L1" s="185"/>
      <c r="M1" s="185"/>
      <c r="N1" s="185"/>
      <c r="O1" s="185"/>
      <c r="P1" s="185"/>
      <c r="Q1" s="185"/>
      <c r="R1" s="185"/>
      <c r="S1" s="185"/>
    </row>
    <row r="2" spans="1:32" ht="11.85" customHeight="1">
      <c r="A2" s="187"/>
      <c r="B2" s="187"/>
      <c r="C2" s="187"/>
      <c r="D2" s="187"/>
      <c r="E2" s="187"/>
      <c r="F2" s="187"/>
      <c r="G2" s="187"/>
      <c r="H2" s="187"/>
      <c r="I2" s="187"/>
      <c r="J2" s="187"/>
      <c r="K2" s="187"/>
      <c r="L2" s="187"/>
      <c r="M2" s="187"/>
      <c r="N2" s="187"/>
      <c r="O2" s="187"/>
      <c r="P2" s="187"/>
      <c r="Q2" s="187"/>
      <c r="R2" s="187"/>
      <c r="S2" s="187"/>
      <c r="T2" s="187"/>
      <c r="U2" s="187"/>
      <c r="V2" s="546" t="str">
        <f>VLOOKUP(V39,kombinace_1!$EJ$3:$EK$8,2,0)</f>
        <v>PL</v>
      </c>
    </row>
    <row r="3" spans="1:32" ht="11.85" customHeight="1">
      <c r="A3" s="187"/>
      <c r="B3" s="187"/>
      <c r="C3" s="187"/>
      <c r="D3" s="187"/>
      <c r="E3" s="187"/>
      <c r="F3" s="187"/>
      <c r="G3" s="187"/>
      <c r="H3" s="187"/>
      <c r="I3" s="187"/>
      <c r="J3" s="187"/>
      <c r="K3" s="187"/>
      <c r="L3" s="187"/>
      <c r="M3" s="187"/>
      <c r="N3" s="187"/>
      <c r="O3" s="187"/>
      <c r="P3" s="187"/>
      <c r="Q3" s="187"/>
      <c r="R3" s="187"/>
      <c r="S3" s="187"/>
      <c r="T3" s="187"/>
      <c r="U3" s="187"/>
      <c r="V3" s="546"/>
    </row>
    <row r="4" spans="1:32" ht="24" customHeight="1">
      <c r="K4" s="544" t="str">
        <f>'Translate&amp;Prices&amp;Logo'!$B$245</f>
        <v>Formularz zamówienia ramek aluminiowych</v>
      </c>
      <c r="L4" s="544"/>
      <c r="M4" s="544"/>
      <c r="N4" s="544"/>
      <c r="O4" s="544"/>
      <c r="P4" s="544"/>
      <c r="Q4" s="544"/>
      <c r="R4" s="544"/>
      <c r="S4" s="544"/>
      <c r="T4" s="544"/>
      <c r="U4" s="544"/>
      <c r="V4" s="544"/>
    </row>
    <row r="5" spans="1:32" ht="11.85" customHeight="1">
      <c r="K5" s="544"/>
      <c r="L5" s="544"/>
      <c r="M5" s="544"/>
      <c r="N5" s="544"/>
      <c r="O5" s="544"/>
      <c r="P5" s="544"/>
      <c r="Q5" s="544"/>
      <c r="R5" s="544"/>
      <c r="S5" s="544"/>
      <c r="T5" s="544"/>
      <c r="U5" s="544"/>
      <c r="V5" s="544"/>
    </row>
    <row r="6" spans="1:32" ht="11.85" customHeight="1">
      <c r="K6" s="545"/>
      <c r="L6" s="545"/>
      <c r="M6" s="545"/>
      <c r="N6" s="545"/>
      <c r="O6" s="545"/>
      <c r="P6" s="545"/>
      <c r="Q6" s="545"/>
      <c r="R6" s="545"/>
      <c r="S6" s="545"/>
      <c r="T6" s="545"/>
      <c r="U6" s="545"/>
      <c r="V6" s="545"/>
    </row>
    <row r="7" spans="1:32" ht="11.85" customHeight="1">
      <c r="C7" s="209"/>
      <c r="D7" s="209"/>
      <c r="E7" s="209"/>
      <c r="F7" s="209"/>
      <c r="G7" s="209"/>
      <c r="H7" s="209"/>
      <c r="I7" s="209"/>
      <c r="J7" s="209"/>
      <c r="K7" s="209"/>
      <c r="L7" s="209"/>
      <c r="M7" s="209"/>
      <c r="N7" s="209"/>
      <c r="O7" s="209"/>
      <c r="P7" s="209"/>
      <c r="Q7" s="209"/>
      <c r="R7" s="209"/>
      <c r="S7" s="209"/>
    </row>
    <row r="8" spans="1:32" ht="11.85" customHeight="1">
      <c r="C8" s="209"/>
      <c r="D8" s="209"/>
      <c r="E8" s="209"/>
      <c r="F8" s="209"/>
      <c r="G8" s="209"/>
      <c r="H8" s="209"/>
      <c r="I8" s="209"/>
      <c r="J8" s="209"/>
      <c r="K8" s="209"/>
      <c r="L8" s="209"/>
      <c r="M8" s="209"/>
      <c r="N8" s="209"/>
      <c r="O8" s="209"/>
      <c r="P8" s="209"/>
      <c r="Q8" s="209"/>
      <c r="R8" s="209"/>
      <c r="S8" s="209"/>
    </row>
    <row r="9" spans="1:32" ht="11.85" customHeight="1"/>
    <row r="10" spans="1:32" ht="11.85" customHeight="1"/>
    <row r="11" spans="1:32" ht="20.85" customHeight="1">
      <c r="F11" s="188"/>
      <c r="G11" s="188"/>
      <c r="H11" s="188"/>
      <c r="I11" s="188"/>
    </row>
    <row r="12" spans="1:32" ht="11.85" customHeight="1"/>
    <row r="13" spans="1:32" ht="18.600000000000001" customHeight="1"/>
    <row r="14" spans="1:32" ht="15" customHeight="1">
      <c r="A14" s="185"/>
      <c r="B14" s="543" t="str">
        <f>'Translate&amp;Prices&amp;Logo'!$B$308</f>
        <v>Zwykłe ramki</v>
      </c>
      <c r="C14" s="543"/>
      <c r="D14" s="543"/>
      <c r="E14" s="543"/>
      <c r="F14" s="543"/>
      <c r="G14" s="543"/>
      <c r="J14" s="185"/>
      <c r="K14" s="185"/>
      <c r="L14" s="185"/>
      <c r="Q14" s="543" t="str">
        <f>'Translate&amp;Prices&amp;Logo'!$B$309</f>
        <v>Ramki przesuwne</v>
      </c>
      <c r="R14" s="543"/>
      <c r="S14" s="543"/>
      <c r="T14" s="543"/>
      <c r="U14" s="543"/>
      <c r="V14" s="11"/>
      <c r="W14" s="11"/>
      <c r="X14" s="11"/>
      <c r="AE14" s="11"/>
      <c r="AF14" s="11"/>
    </row>
    <row r="15" spans="1:32" ht="15" customHeight="1">
      <c r="A15" s="185"/>
      <c r="B15" s="543"/>
      <c r="C15" s="543"/>
      <c r="D15" s="543"/>
      <c r="E15" s="543"/>
      <c r="F15" s="543"/>
      <c r="G15" s="543"/>
      <c r="J15" s="185"/>
      <c r="K15" s="185"/>
      <c r="L15" s="185"/>
      <c r="Q15" s="543"/>
      <c r="R15" s="543"/>
      <c r="S15" s="543"/>
      <c r="T15" s="543"/>
      <c r="U15" s="543"/>
      <c r="AE15" s="11"/>
      <c r="AF15" s="11"/>
    </row>
    <row r="16" spans="1:32" ht="11.85" customHeight="1">
      <c r="Z16" s="11"/>
      <c r="AA16" s="11"/>
      <c r="AB16" s="11"/>
      <c r="AC16" s="11"/>
      <c r="AD16" s="11"/>
      <c r="AE16" s="11"/>
      <c r="AF16" s="11"/>
    </row>
    <row r="17" spans="1:32" ht="11.85" customHeight="1">
      <c r="AA17" s="11"/>
      <c r="AB17" s="11"/>
      <c r="AC17" s="11"/>
      <c r="AD17" s="11"/>
      <c r="AE17" s="11"/>
      <c r="AF17" s="11"/>
    </row>
    <row r="18" spans="1:32" ht="11.85" customHeight="1">
      <c r="Z18" s="11"/>
      <c r="AA18" s="11"/>
      <c r="AB18" s="11"/>
      <c r="AC18" s="11"/>
      <c r="AD18" s="11"/>
      <c r="AE18" s="11"/>
      <c r="AF18" s="11"/>
    </row>
    <row r="19" spans="1:32" ht="11.85" customHeight="1">
      <c r="Z19" s="11"/>
      <c r="AA19" s="11"/>
      <c r="AB19" s="11"/>
      <c r="AC19" s="11"/>
      <c r="AD19" s="11"/>
      <c r="AE19" s="11"/>
      <c r="AF19" s="11"/>
    </row>
    <row r="20" spans="1:32" ht="11.85" customHeight="1">
      <c r="T20" s="189"/>
      <c r="U20" s="189"/>
      <c r="V20" s="189"/>
      <c r="W20" s="11"/>
      <c r="X20" s="11"/>
      <c r="Y20" s="11"/>
      <c r="Z20" s="11"/>
      <c r="AA20" s="11"/>
      <c r="AB20" s="11"/>
      <c r="AC20" s="11"/>
      <c r="AD20" s="11"/>
      <c r="AE20" s="11"/>
      <c r="AF20" s="11"/>
    </row>
    <row r="21" spans="1:32" ht="11.85" customHeight="1">
      <c r="J21" s="543" t="str">
        <f>'Translate&amp;Prices&amp;Logo'!$B$581</f>
        <v>Zamówienie szkła</v>
      </c>
      <c r="K21" s="543"/>
      <c r="L21" s="543"/>
      <c r="M21" s="543"/>
      <c r="N21" s="543"/>
      <c r="O21" s="543"/>
      <c r="Z21" s="11"/>
      <c r="AA21" s="11"/>
      <c r="AB21" s="11"/>
      <c r="AC21" s="11"/>
      <c r="AD21" s="11"/>
      <c r="AE21" s="11"/>
      <c r="AF21" s="11"/>
    </row>
    <row r="22" spans="1:32" ht="11.85" customHeight="1">
      <c r="J22" s="543"/>
      <c r="K22" s="543"/>
      <c r="L22" s="543"/>
      <c r="M22" s="543"/>
      <c r="N22" s="543"/>
      <c r="O22" s="543"/>
      <c r="T22" s="189"/>
      <c r="U22" s="189"/>
      <c r="V22" s="189"/>
      <c r="W22" s="11"/>
      <c r="X22" s="11"/>
      <c r="Y22" s="11"/>
      <c r="Z22" s="11"/>
      <c r="AA22" s="11"/>
      <c r="AB22" s="11"/>
      <c r="AC22" s="11"/>
      <c r="AD22" s="11"/>
      <c r="AE22" s="11"/>
      <c r="AF22" s="11"/>
    </row>
    <row r="23" spans="1:32" ht="11.85" customHeight="1">
      <c r="Z23" s="11"/>
      <c r="AA23" s="11"/>
      <c r="AB23" s="11"/>
      <c r="AC23" s="11"/>
      <c r="AD23" s="11"/>
      <c r="AE23" s="11"/>
      <c r="AF23" s="11"/>
    </row>
    <row r="24" spans="1:32" ht="11.85" customHeight="1">
      <c r="T24" s="189"/>
      <c r="U24" s="189"/>
      <c r="V24" s="189"/>
      <c r="W24" s="11"/>
      <c r="X24" s="11"/>
      <c r="Y24" s="11"/>
      <c r="Z24" s="11"/>
    </row>
    <row r="25" spans="1:32" ht="11.85" customHeight="1">
      <c r="Z25" s="11"/>
    </row>
    <row r="26" spans="1:32" ht="11.85" customHeight="1">
      <c r="T26" s="189"/>
      <c r="U26" s="189"/>
      <c r="V26" s="189"/>
      <c r="W26" s="11"/>
      <c r="X26" s="11"/>
      <c r="Y26" s="11"/>
      <c r="Z26" s="11"/>
    </row>
    <row r="27" spans="1:32" ht="15">
      <c r="E27" s="190"/>
      <c r="Z27" s="11"/>
    </row>
    <row r="28" spans="1:32" ht="15" customHeight="1">
      <c r="A28" s="185"/>
      <c r="B28" s="543" t="str">
        <f>'Translate&amp;Prices&amp;Logo'!$B$279</f>
        <v>Kolory LACOBEL i MATELAC</v>
      </c>
      <c r="C28" s="543"/>
      <c r="D28" s="543"/>
      <c r="E28" s="543"/>
      <c r="F28" s="543"/>
      <c r="G28" s="543"/>
      <c r="J28" s="185"/>
      <c r="K28" s="185"/>
      <c r="L28" s="185"/>
      <c r="Q28" s="543" t="str">
        <f>'Translate&amp;Prices&amp;Logo'!$B$310</f>
        <v>Rysunki profili i okuć łączących</v>
      </c>
      <c r="R28" s="543"/>
      <c r="S28" s="543"/>
      <c r="T28" s="543"/>
      <c r="U28" s="543"/>
      <c r="V28" s="189"/>
    </row>
    <row r="29" spans="1:32" ht="15" customHeight="1">
      <c r="A29" s="185"/>
      <c r="B29" s="543"/>
      <c r="C29" s="543"/>
      <c r="D29" s="543"/>
      <c r="E29" s="543"/>
      <c r="F29" s="543"/>
      <c r="G29" s="543"/>
      <c r="J29" s="185"/>
      <c r="K29" s="185"/>
      <c r="L29" s="185"/>
      <c r="Q29" s="543"/>
      <c r="R29" s="543"/>
      <c r="S29" s="543"/>
      <c r="T29" s="543"/>
      <c r="U29" s="543"/>
    </row>
    <row r="30" spans="1:32" ht="11.85" customHeight="1">
      <c r="T30" s="189"/>
      <c r="U30" s="189"/>
      <c r="V30" s="189"/>
      <c r="W30" s="11"/>
      <c r="X30" s="11"/>
      <c r="Y30" s="11"/>
      <c r="Z30" s="11"/>
    </row>
    <row r="31" spans="1:32" ht="11.85" customHeight="1">
      <c r="Z31" s="11"/>
    </row>
    <row r="32" spans="1:32" ht="11.85" customHeight="1"/>
    <row r="33" spans="1:22" ht="11.85" customHeight="1"/>
    <row r="34" spans="1:22" ht="11.85" customHeight="1"/>
    <row r="35" spans="1:22" ht="11.85" customHeight="1"/>
    <row r="36" spans="1:22" ht="11.85" customHeight="1"/>
    <row r="37" spans="1:22" ht="11.85" customHeight="1"/>
    <row r="38" spans="1:22" ht="11.85" customHeight="1">
      <c r="A38" s="268" t="str">
        <f>'Translate&amp;Prices&amp;Logo'!$B$247</f>
        <v>Ceny obowiązują od 27.1.2026/Wersja 7.5</v>
      </c>
    </row>
    <row r="39" spans="1:22" ht="11.85" hidden="1" customHeight="1">
      <c r="V39" s="210">
        <v>3</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L758"/>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8" max="158" width="8.5703125" customWidth="1"/>
    <col min="159" max="159" width="21.85546875" customWidth="1"/>
    <col min="161" max="161" width="22.28515625" customWidth="1"/>
    <col min="162" max="162" width="17" customWidth="1"/>
    <col min="163" max="163" width="26" customWidth="1"/>
  </cols>
  <sheetData>
    <row r="1" spans="1:168">
      <c r="A1" t="s">
        <v>24</v>
      </c>
      <c r="F1" t="s">
        <v>1017</v>
      </c>
      <c r="H1" t="b">
        <v>0</v>
      </c>
      <c r="M1" t="s">
        <v>1018</v>
      </c>
      <c r="P1" t="e">
        <f t="array" ref="P1">IF($S$1=Varianta_N1,_N1,IF($S$1=Varianta_A1,_A1,IF($S$1=Varianta_N2,_N2,IF($S$1=Varianta_A2,_A2,IF($S$1=Varianta_N3,_N3,IF($S$1=Varianta_A3,_A3,0))))))</f>
        <v>#N/A</v>
      </c>
      <c r="Q1" s="231" t="s">
        <v>1083</v>
      </c>
      <c r="R1" s="2" t="e">
        <f>VLOOKUP(Ram_1!H8,kombinace_1!$A$3:$C$75,3,0)</f>
        <v>#N/A</v>
      </c>
      <c r="S1" t="e">
        <f>CONCATENATE("_",R1,V1)</f>
        <v>#N/A</v>
      </c>
      <c r="U1" s="231" t="s">
        <v>1082</v>
      </c>
      <c r="V1" s="2">
        <f>IFERROR(VLOOKUP(Ram_1!H21,$EN$3:$EO$5,2,0),1)</f>
        <v>1</v>
      </c>
      <c r="X1" t="s">
        <v>1019</v>
      </c>
      <c r="AA1" t="s">
        <v>610</v>
      </c>
      <c r="AF1" t="s">
        <v>1020</v>
      </c>
      <c r="AX1" t="s">
        <v>401</v>
      </c>
      <c r="BC1" t="s">
        <v>8</v>
      </c>
      <c r="BK1" t="s">
        <v>576</v>
      </c>
      <c r="BM1" t="s">
        <v>1072</v>
      </c>
      <c r="ED1" t="s">
        <v>3390</v>
      </c>
      <c r="EE1" t="s">
        <v>76</v>
      </c>
      <c r="ER1" t="s">
        <v>2277</v>
      </c>
      <c r="ES1" t="s">
        <v>2282</v>
      </c>
      <c r="EV1">
        <v>1</v>
      </c>
      <c r="EW1" t="s">
        <v>2299</v>
      </c>
      <c r="EY1" t="s">
        <v>2402</v>
      </c>
      <c r="FA1" t="s">
        <v>2403</v>
      </c>
      <c r="FC1" t="s">
        <v>2401</v>
      </c>
    </row>
    <row r="2" spans="1:168">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CONCATENATE("_",Ram_1!H12,"_",Ram_1!H13)</f>
        <v>__</v>
      </c>
      <c r="BV2" t="s">
        <v>1100</v>
      </c>
      <c r="BW2" t="s">
        <v>1095</v>
      </c>
      <c r="BY2" t="s">
        <v>112</v>
      </c>
      <c r="CA2" t="s">
        <v>1127</v>
      </c>
      <c r="CD2" t="s">
        <v>1202</v>
      </c>
      <c r="CF2" t="s">
        <v>1447</v>
      </c>
      <c r="DN2" t="str">
        <f>'Translate&amp;Prices&amp;Logo'!B553</f>
        <v>Nakładany</v>
      </c>
      <c r="DP2" t="str">
        <f>'Translate&amp;Prices&amp;Logo'!$B$551</f>
        <v>Zawiasy</v>
      </c>
      <c r="DQ2">
        <v>2</v>
      </c>
      <c r="ED2" t="s">
        <v>1770</v>
      </c>
      <c r="EE2" t="s">
        <v>3391</v>
      </c>
      <c r="ER2" t="s">
        <v>2278</v>
      </c>
      <c r="ES2" t="s">
        <v>2283</v>
      </c>
      <c r="EV2">
        <v>2</v>
      </c>
      <c r="EW2" t="s">
        <v>2300</v>
      </c>
      <c r="EY2" s="271" t="str">
        <f>'Translate&amp;Prices&amp;Logo'!B164</f>
        <v>siatka alu złota - oko 10x6x1 mm</v>
      </c>
      <c r="FA2" s="75" t="str">
        <f>'Translate&amp;Prices&amp;Logo'!B644</f>
        <v>520405 SALICE AIR SOFT zawiasy niklowe o kącie otwarcia 92° kpl. 2 szt</v>
      </c>
      <c r="FC2" t="b">
        <v>0</v>
      </c>
    </row>
    <row r="3" spans="1:168">
      <c r="A3" t="str">
        <f>'Translate&amp;Prices&amp;Logo'!$B$6</f>
        <v>BRW (elox.) - maksymalna zalecana długość profilu 2500 mm</v>
      </c>
      <c r="B3">
        <v>1</v>
      </c>
      <c r="C3" t="s">
        <v>662</v>
      </c>
      <c r="D3">
        <v>1</v>
      </c>
      <c r="F3" t="s">
        <v>1036</v>
      </c>
      <c r="G3" t="s">
        <v>384</v>
      </c>
      <c r="H3" t="s">
        <v>1037</v>
      </c>
      <c r="I3">
        <v>1</v>
      </c>
      <c r="J3">
        <v>2</v>
      </c>
      <c r="K3" t="s">
        <v>662</v>
      </c>
      <c r="M3" t="s">
        <v>1038</v>
      </c>
      <c r="N3" t="s">
        <v>556</v>
      </c>
      <c r="X3" t="str">
        <f>'Translate&amp;Prices&amp;Logo'!$B$563</f>
        <v>transparentna</v>
      </c>
      <c r="Y3">
        <v>1</v>
      </c>
      <c r="AA3" t="s">
        <v>2204</v>
      </c>
      <c r="AB3" t="s">
        <v>1095</v>
      </c>
      <c r="AF3" t="s">
        <v>107</v>
      </c>
      <c r="AG3" t="s">
        <v>2514</v>
      </c>
      <c r="AY3" t="s">
        <v>1070</v>
      </c>
      <c r="BK3" t="s">
        <v>107</v>
      </c>
      <c r="BU3" t="e">
        <f>VLOOKUP(BU2,BV:BW,2,0)</f>
        <v>#N/A</v>
      </c>
      <c r="BV3" t="s">
        <v>1103</v>
      </c>
      <c r="BW3" t="s">
        <v>1099</v>
      </c>
      <c r="BY3" t="str">
        <f>'Translate&amp;Prices&amp;Logo'!$B$230</f>
        <v>W lewo</v>
      </c>
      <c r="BZ3">
        <v>1</v>
      </c>
      <c r="CA3">
        <v>32</v>
      </c>
      <c r="CD3" t="s">
        <v>2511</v>
      </c>
      <c r="CE3">
        <v>1</v>
      </c>
      <c r="CF3">
        <v>1</v>
      </c>
      <c r="DN3" t="e">
        <f>IF(OR(Ram_1!$H$13&amp;Ram_1!$AU$7=Ram_1!$M$44,
Ram_1!$H$13&amp;Ram_1!$AU$7=Ram_1!$M$45,
Ram_1!$H$13&amp;Ram_1!$AU$7=Ram_1!$M$46,
Ram_1!$H$13&amp;Ram_1!$AU$7=Ram_1!$M$47),
'Translate&amp;Prices&amp;Logo'!B657,'Translate&amp;Prices&amp;Logo'!B554)</f>
        <v>#N/A</v>
      </c>
      <c r="DP3" t="str">
        <f>'Translate&amp;Prices&amp;Logo'!$B$552</f>
        <v>Podnośniki</v>
      </c>
      <c r="DQ3">
        <v>3</v>
      </c>
      <c r="ED3" t="s">
        <v>1771</v>
      </c>
      <c r="EE3" t="s">
        <v>3394</v>
      </c>
      <c r="EJ3">
        <v>1</v>
      </c>
      <c r="EK3" t="s">
        <v>115</v>
      </c>
      <c r="EN3" t="str">
        <f>'Translate&amp;Prices&amp;Logo'!B638</f>
        <v>Bez modyfikacji</v>
      </c>
      <c r="EO3">
        <v>1</v>
      </c>
      <c r="ER3" t="s">
        <v>2276</v>
      </c>
      <c r="ES3" t="s">
        <v>2284</v>
      </c>
      <c r="EV3">
        <v>3</v>
      </c>
      <c r="EW3" t="s">
        <v>2301</v>
      </c>
      <c r="EY3" s="271" t="str">
        <f>'Translate&amp;Prices&amp;Logo'!B165</f>
        <v>siatka stal czarny mat RAL 9005– oko 8x4x1 mm</v>
      </c>
      <c r="FA3" s="75" t="str">
        <f>'Translate&amp;Prices&amp;Logo'!B645</f>
        <v>520406 SALICE AIR PUSH TO OPEN zawiasy niklowe z zestawem adapterów 2 szt</v>
      </c>
    </row>
    <row r="4" spans="1:168">
      <c r="A4" t="str">
        <f>'Translate&amp;Prices&amp;Logo'!$B$8</f>
        <v>BRW bialy matowy RAL 9003 - maksymalna zalecana długość profilu 2500 mm</v>
      </c>
      <c r="B4">
        <v>1</v>
      </c>
      <c r="C4" t="s">
        <v>662</v>
      </c>
      <c r="D4">
        <v>0</v>
      </c>
      <c r="G4" t="s">
        <v>1037</v>
      </c>
      <c r="H4" t="s">
        <v>384</v>
      </c>
      <c r="I4">
        <v>0</v>
      </c>
      <c r="J4">
        <v>2</v>
      </c>
      <c r="K4" t="s">
        <v>662</v>
      </c>
      <c r="M4" t="s">
        <v>1041</v>
      </c>
      <c r="N4" t="s">
        <v>942</v>
      </c>
      <c r="X4" t="str">
        <f>'Translate&amp;Prices&amp;Logo'!$B$564</f>
        <v>Biała</v>
      </c>
      <c r="Y4">
        <v>2</v>
      </c>
      <c r="AA4" t="s">
        <v>1040</v>
      </c>
      <c r="AB4" t="s">
        <v>2511</v>
      </c>
      <c r="AC4">
        <v>1</v>
      </c>
      <c r="AD4">
        <v>1</v>
      </c>
      <c r="AF4" t="s">
        <v>108</v>
      </c>
      <c r="AG4" t="s">
        <v>2514</v>
      </c>
      <c r="AY4" t="s">
        <v>1070</v>
      </c>
      <c r="AZ4" t="s">
        <v>1105</v>
      </c>
      <c r="BK4" t="s">
        <v>108</v>
      </c>
      <c r="BV4" t="s">
        <v>1104</v>
      </c>
      <c r="BW4" t="s">
        <v>1098</v>
      </c>
      <c r="BY4" t="str">
        <f>'Translate&amp;Prices&amp;Logo'!$B$229</f>
        <v>W prawo</v>
      </c>
      <c r="BZ4">
        <v>2</v>
      </c>
      <c r="CA4">
        <v>64</v>
      </c>
      <c r="CD4" t="s">
        <v>2275</v>
      </c>
      <c r="CE4">
        <v>1</v>
      </c>
      <c r="CF4">
        <v>0</v>
      </c>
      <c r="DN4" t="e">
        <f>IF(OR(Ram_1!$H$13&amp;Ram_1!$AU$7=Ram_1!$M$44,
Ram_1!$H$13&amp;Ram_1!$AU$7=Ram_1!$M$45,
Ram_1!$H$13&amp;Ram_1!$AU$7=Ram_1!$M$46,
Ram_1!$H$13&amp;Ram_1!$AU$7=Ram_1!$M$47),
'Translate&amp;Prices&amp;Logo'!B657,'Translate&amp;Prices&amp;Logo'!B555)</f>
        <v>#N/A</v>
      </c>
      <c r="ED4" t="s">
        <v>1772</v>
      </c>
      <c r="EE4" t="s">
        <v>3396</v>
      </c>
      <c r="EJ4">
        <v>2</v>
      </c>
      <c r="EK4" t="s">
        <v>116</v>
      </c>
      <c r="EN4" t="str">
        <f>'Translate&amp;Prices&amp;Logo'!B639</f>
        <v>Hartowane (termin dostawy 4 tygodnie)</v>
      </c>
      <c r="EO4">
        <v>2</v>
      </c>
      <c r="ER4" t="s">
        <v>2586</v>
      </c>
      <c r="ES4" t="s">
        <v>2587</v>
      </c>
      <c r="EV4">
        <v>4</v>
      </c>
      <c r="EW4" t="s">
        <v>2302</v>
      </c>
      <c r="EY4" s="271" t="str">
        <f>'Translate&amp;Prices&amp;Logo'!B166</f>
        <v>siatka stalowa biała - oko 8x4x1 mm</v>
      </c>
      <c r="FA4" s="75" t="str">
        <f>'Translate&amp;Prices&amp;Logo'!B646</f>
        <v>520407 SALICE AIR PUSH TO OPEN zawiasy niklowe z zestawem adapterów 2 szt</v>
      </c>
      <c r="FD4" s="293"/>
    </row>
    <row r="5" spans="1:168">
      <c r="A5" t="str">
        <f>'Translate&amp;Prices&amp;Logo'!$B$9</f>
        <v>BRW bialy połysk RAL 9003 - maksymalna zalecana długość profilu 2500 mm</v>
      </c>
      <c r="B5">
        <v>1</v>
      </c>
      <c r="C5" t="s">
        <v>662</v>
      </c>
      <c r="D5">
        <v>0</v>
      </c>
      <c r="F5" t="s">
        <v>1043</v>
      </c>
      <c r="G5" t="s">
        <v>383</v>
      </c>
      <c r="H5" t="s">
        <v>1037</v>
      </c>
      <c r="I5">
        <v>1</v>
      </c>
      <c r="J5">
        <v>2</v>
      </c>
      <c r="K5" t="s">
        <v>662</v>
      </c>
      <c r="M5" t="s">
        <v>1044</v>
      </c>
      <c r="N5" t="s">
        <v>558</v>
      </c>
      <c r="X5" t="str">
        <f>'Translate&amp;Prices&amp;Logo'!$B$565</f>
        <v>czarna</v>
      </c>
      <c r="Y5">
        <v>3</v>
      </c>
      <c r="AA5" t="s">
        <v>1040</v>
      </c>
      <c r="AB5" t="s">
        <v>2515</v>
      </c>
      <c r="AC5">
        <v>0</v>
      </c>
      <c r="AD5">
        <v>0</v>
      </c>
      <c r="AF5" t="s">
        <v>107</v>
      </c>
      <c r="AG5" t="s">
        <v>2516</v>
      </c>
      <c r="AY5" t="s">
        <v>1070</v>
      </c>
      <c r="AZ5" t="s">
        <v>1106</v>
      </c>
      <c r="BK5" t="s">
        <v>1047</v>
      </c>
      <c r="BV5" t="s">
        <v>2638</v>
      </c>
      <c r="BW5" t="s">
        <v>2639</v>
      </c>
      <c r="BY5" t="str">
        <f>'Translate&amp;Prices&amp;Logo'!$B$227</f>
        <v>W górę</v>
      </c>
      <c r="BZ5">
        <v>3</v>
      </c>
      <c r="CA5">
        <v>76</v>
      </c>
      <c r="CD5" t="s">
        <v>1050</v>
      </c>
      <c r="CE5">
        <v>1</v>
      </c>
      <c r="CF5">
        <v>0</v>
      </c>
      <c r="ED5" t="s">
        <v>1773</v>
      </c>
      <c r="EE5" t="s">
        <v>3397</v>
      </c>
      <c r="EJ5">
        <v>3</v>
      </c>
      <c r="EK5" t="s">
        <v>76</v>
      </c>
      <c r="EN5" t="str">
        <f>'Translate&amp;Prices&amp;Logo'!B640</f>
        <v>Folia</v>
      </c>
      <c r="EO5">
        <v>3</v>
      </c>
      <c r="ER5" t="s">
        <v>2588</v>
      </c>
      <c r="ES5" t="s">
        <v>2589</v>
      </c>
      <c r="EV5">
        <v>5</v>
      </c>
      <c r="EW5" t="s">
        <v>2300</v>
      </c>
      <c r="EY5" s="271" t="str">
        <f>'Translate&amp;Prices&amp;Logo'!B167</f>
        <v>siatka elox - oko 10x6x1 mm</v>
      </c>
      <c r="FA5" s="75" t="str">
        <f>'Translate&amp;Prices&amp;Logo'!B647</f>
        <v>520408 SALICE AIR SOFT zawiasy niklowe z zestawem adapterów 2 szt</v>
      </c>
      <c r="FD5" s="293"/>
    </row>
    <row r="6" spans="1:168">
      <c r="A6" t="str">
        <f>'Translate&amp;Prices&amp;Logo'!$B$11</f>
        <v>BRW szczotkowany - maksymalna zalecana długość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W dół</v>
      </c>
      <c r="BZ6">
        <v>4</v>
      </c>
      <c r="CA6">
        <v>96</v>
      </c>
      <c r="CD6" t="s">
        <v>1053</v>
      </c>
      <c r="CE6">
        <v>1</v>
      </c>
      <c r="CF6">
        <v>1</v>
      </c>
      <c r="ED6" t="s">
        <v>1774</v>
      </c>
      <c r="EE6" t="s">
        <v>3399</v>
      </c>
      <c r="EJ6">
        <v>4</v>
      </c>
      <c r="EK6" t="s">
        <v>77</v>
      </c>
      <c r="ER6" t="s">
        <v>2590</v>
      </c>
      <c r="ES6" t="s">
        <v>2591</v>
      </c>
      <c r="EV6">
        <v>6</v>
      </c>
      <c r="EW6" t="s">
        <v>2300</v>
      </c>
      <c r="FA6" s="75" t="str">
        <f>'Translate&amp;Prices&amp;Logo'!B648</f>
        <v>520410 SALICE AIR SOFT TITANIUM  zawiasy o kącie otwarcia 92° kpl. 2 szt</v>
      </c>
    </row>
    <row r="7" spans="1:168">
      <c r="A7" t="str">
        <f>'Translate&amp;Prices&amp;Logo'!$B$12</f>
        <v>BRW Czarny matowy - maksymalna zalecana długość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3401</v>
      </c>
      <c r="EJ7">
        <v>5</v>
      </c>
      <c r="EK7" t="s">
        <v>2199</v>
      </c>
      <c r="ER7" t="s">
        <v>2592</v>
      </c>
      <c r="ES7" t="s">
        <v>2593</v>
      </c>
      <c r="FA7" s="75" t="str">
        <f>'Translate&amp;Prices&amp;Logo'!B649</f>
        <v>520411 SALICE AIR TITANIUM PUSH TO OPEN zawiasy komplet 2 szt</v>
      </c>
      <c r="FD7" s="293"/>
    </row>
    <row r="8" spans="1:168">
      <c r="A8" t="str">
        <f>'Translate&amp;Prices&amp;Logo'!$B$14</f>
        <v>BRW czarna szczotka - maksymalna zalecana długość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3403</v>
      </c>
      <c r="EJ8">
        <v>6</v>
      </c>
      <c r="EK8" t="s">
        <v>4396</v>
      </c>
      <c r="ER8" t="s">
        <v>2594</v>
      </c>
      <c r="ES8" t="s">
        <v>2595</v>
      </c>
      <c r="FA8" s="75" t="str">
        <f>'Translate&amp;Prices&amp;Logo'!B650</f>
        <v>520412 SALICE AIR TITANIUM PUSH TO OPEN zawiasy z zestawem adapterów 2 szt</v>
      </c>
    </row>
    <row r="9" spans="1:168">
      <c r="A9" t="str">
        <f>'Translate&amp;Prices&amp;Logo'!$B$15</f>
        <v>BRW acier grata - maksymalna zalecana długość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3404</v>
      </c>
      <c r="ER9" t="s">
        <v>2596</v>
      </c>
      <c r="ES9" t="s">
        <v>2597</v>
      </c>
      <c r="FA9" t="str">
        <f>'Translate&amp;Prices&amp;Logo'!B651</f>
        <v>520413 SALICE AIR SOFT TITANIUM zawiasy z zestawem adapterów 2 szt</v>
      </c>
    </row>
    <row r="10" spans="1:168">
      <c r="A10" t="str">
        <f>'Translate&amp;Prices&amp;Logo'!$B$7</f>
        <v>BRW antracyt RAL 7021 - maksymalna zalecana długość profilu 2500 mm</v>
      </c>
      <c r="B10">
        <v>1</v>
      </c>
      <c r="C10" t="s">
        <v>662</v>
      </c>
      <c r="D10">
        <v>0</v>
      </c>
      <c r="M10" t="str">
        <f>'Translate&amp;Prices&amp;Logo'!B558</f>
        <v>Poziomo (termin dostawy 4 tygodnie)</v>
      </c>
      <c r="N10">
        <f>IF(Ram_1!$H$9=kombinace_1!M10,1,0)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8">
      <c r="A11" t="str">
        <f>'Translate&amp;Prices&amp;Logo'!$B$69</f>
        <v>BRW champagne - maksymalna zalecana długość profilu 2500 mm</v>
      </c>
      <c r="B11">
        <v>1</v>
      </c>
      <c r="C11" t="s">
        <v>662</v>
      </c>
      <c r="D11">
        <v>0</v>
      </c>
      <c r="M11" t="str">
        <f>'Translate&amp;Prices&amp;Logo'!B559</f>
        <v>Pionowo (termin dostawy 4 tygodnie)</v>
      </c>
      <c r="N11">
        <f>IF(Ram_1!$H$9=kombinace_1!M11,2,0)</f>
        <v>0</v>
      </c>
      <c r="AC11">
        <v>0</v>
      </c>
      <c r="AD11">
        <v>0</v>
      </c>
      <c r="AF11" t="s">
        <v>107</v>
      </c>
      <c r="AG11" t="s">
        <v>1055</v>
      </c>
      <c r="AY11" t="s">
        <v>1040</v>
      </c>
      <c r="AZ11" t="s">
        <v>1111</v>
      </c>
      <c r="BQ11" s="273" t="s">
        <v>2390</v>
      </c>
      <c r="BY11">
        <v>5</v>
      </c>
      <c r="CA11">
        <v>240</v>
      </c>
      <c r="CD11" t="str">
        <f>CONCATENATE('Translate&amp;Prices&amp;Logo'!B664,"_K12")</f>
        <v>dolny_K12</v>
      </c>
      <c r="CE11">
        <v>1</v>
      </c>
      <c r="CF11">
        <v>0</v>
      </c>
      <c r="DN11" t="s">
        <v>70</v>
      </c>
      <c r="DO11" s="2" t="s">
        <v>70</v>
      </c>
      <c r="ED11" t="s">
        <v>1779</v>
      </c>
      <c r="EE11" t="s">
        <v>1873</v>
      </c>
      <c r="ER11" t="s">
        <v>2280</v>
      </c>
      <c r="ES11" t="s">
        <v>2286</v>
      </c>
      <c r="FD11" s="293"/>
    </row>
    <row r="12" spans="1:168">
      <c r="A12" t="str">
        <f>'Translate&amp;Prices&amp;Logo'!$B$70</f>
        <v>BRW champagne light - maksymalna zalecana długość profilu 2500 mm</v>
      </c>
      <c r="B12">
        <v>1</v>
      </c>
      <c r="C12" t="s">
        <v>662</v>
      </c>
      <c r="D12">
        <v>0</v>
      </c>
      <c r="M12" t="str">
        <f>'Translate&amp;Prices&amp;Logo'!B560</f>
        <v>Poziomo i pionowo (termin dostawy 4 tygodnie)</v>
      </c>
      <c r="N12">
        <f>IF(Ram_1!$H$9=kombinace_1!M12,3,0)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8">
      <c r="A13" t="str">
        <f>'Translate&amp;Prices&amp;Logo'!$B$10</f>
        <v>BRW brąz - maksymalna zalecana długość profilu 2500 mm</v>
      </c>
      <c r="B13">
        <v>1</v>
      </c>
      <c r="C13" t="s">
        <v>662</v>
      </c>
      <c r="D13">
        <v>0</v>
      </c>
      <c r="AC13">
        <v>0</v>
      </c>
      <c r="AD13">
        <v>0</v>
      </c>
      <c r="AF13" t="s">
        <v>107</v>
      </c>
      <c r="AG13" t="s">
        <v>1058</v>
      </c>
      <c r="AY13" t="s">
        <v>1040</v>
      </c>
      <c r="AZ13" t="s">
        <v>1113</v>
      </c>
      <c r="BQ13" s="274"/>
      <c r="BR13" t="s">
        <v>1052</v>
      </c>
      <c r="BY13" t="str">
        <f>'Translate&amp;Prices&amp;Logo'!$B$558</f>
        <v>Poziomo (termin dostawy 4 tygodnie)</v>
      </c>
      <c r="BZ13">
        <v>1</v>
      </c>
      <c r="CA13">
        <v>288</v>
      </c>
      <c r="CD13" t="str">
        <f>CONCATENATE('Translate&amp;Prices&amp;Logo'!B664,"_kraby")</f>
        <v>dolny_kraby</v>
      </c>
      <c r="CE13">
        <v>1</v>
      </c>
      <c r="CF13">
        <v>0</v>
      </c>
      <c r="DN13" t="s">
        <v>222</v>
      </c>
      <c r="DO13" s="2" t="s">
        <v>69</v>
      </c>
      <c r="ED13" t="s">
        <v>2648</v>
      </c>
      <c r="EE13" t="s">
        <v>2647</v>
      </c>
      <c r="ER13" t="s">
        <v>2282</v>
      </c>
      <c r="ES13" t="s">
        <v>2282</v>
      </c>
    </row>
    <row r="14" spans="1:168">
      <c r="A14" t="str">
        <f>'Translate&amp;Prices&amp;Logo'!$B$16</f>
        <v>BRW INOX (stal nierdzewna) - maksymalna zalecana długość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Pionowo (termin dostawy 4 tygodnie)</v>
      </c>
      <c r="BZ14">
        <v>2</v>
      </c>
      <c r="CA14">
        <v>320</v>
      </c>
      <c r="CD14" t="s">
        <v>1066</v>
      </c>
      <c r="CE14">
        <v>1</v>
      </c>
      <c r="CF14">
        <v>0</v>
      </c>
      <c r="DN14" t="s">
        <v>223</v>
      </c>
      <c r="DO14" s="2" t="s">
        <v>70</v>
      </c>
      <c r="ED14" t="s">
        <v>1781</v>
      </c>
      <c r="EE14" t="s">
        <v>1875</v>
      </c>
      <c r="ER14" t="s">
        <v>2283</v>
      </c>
      <c r="ES14" t="s">
        <v>2283</v>
      </c>
    </row>
    <row r="15" spans="1:168">
      <c r="A15" t="str">
        <f>'Translate&amp;Prices&amp;Logo'!$B$13</f>
        <v>BRW złota- maksymalna zalecana długość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Poziomo i pionowo (termin dostawy 4 tygodnie)</v>
      </c>
      <c r="BZ15">
        <v>3</v>
      </c>
      <c r="CA15">
        <v>384</v>
      </c>
      <c r="CD15" t="s">
        <v>1067</v>
      </c>
      <c r="CE15">
        <v>1</v>
      </c>
      <c r="CF15">
        <v>0</v>
      </c>
      <c r="DN15" t="s">
        <v>1254</v>
      </c>
      <c r="DO15" s="2" t="s">
        <v>71</v>
      </c>
      <c r="ED15" t="s">
        <v>1782</v>
      </c>
      <c r="EE15" t="s">
        <v>1876</v>
      </c>
      <c r="ER15" t="s">
        <v>2284</v>
      </c>
      <c r="ES15" t="s">
        <v>2284</v>
      </c>
      <c r="FD15" s="293"/>
    </row>
    <row r="16" spans="1:168">
      <c r="A16" t="str">
        <f>'Translate&amp;Prices&amp;Logo'!$B$55</f>
        <v>BRW złota szczotkowany - maksymalna zalecana zalecana długość profilu 2500 mm</v>
      </c>
      <c r="B16">
        <v>1</v>
      </c>
      <c r="C16" t="s">
        <v>662</v>
      </c>
      <c r="D16">
        <v>0</v>
      </c>
      <c r="E16">
        <v>3</v>
      </c>
      <c r="F16">
        <f>'Translate&amp;Prices&amp;Logo'!$B$79</f>
        <v>0</v>
      </c>
      <c r="AA16" t="s">
        <v>1052</v>
      </c>
      <c r="AB16" t="s">
        <v>1053</v>
      </c>
      <c r="AC16">
        <v>1</v>
      </c>
      <c r="AD16">
        <v>1</v>
      </c>
      <c r="AF16" t="s">
        <v>108</v>
      </c>
      <c r="AG16" t="s">
        <v>1060</v>
      </c>
      <c r="AY16" t="s">
        <v>2577</v>
      </c>
      <c r="AZ16" t="s">
        <v>2578</v>
      </c>
      <c r="CA16">
        <v>448</v>
      </c>
      <c r="CD16" t="str">
        <f>'Translate&amp;Prices&amp;Logo'!B659</f>
        <v>StrongLift_gorny</v>
      </c>
      <c r="CE16">
        <v>1</v>
      </c>
      <c r="CF16">
        <v>1</v>
      </c>
      <c r="DN16" t="s">
        <v>286</v>
      </c>
      <c r="DO16" s="2" t="s">
        <v>69</v>
      </c>
      <c r="ED16" t="s">
        <v>1783</v>
      </c>
      <c r="EE16" t="s">
        <v>1877</v>
      </c>
      <c r="ER16" t="s">
        <v>2587</v>
      </c>
      <c r="ES16" t="s">
        <v>2587</v>
      </c>
      <c r="FC16" s="309"/>
      <c r="FD16" s="310"/>
      <c r="FE16" s="309"/>
      <c r="FF16" s="309"/>
      <c r="FG16" s="309"/>
      <c r="FH16" s="309"/>
      <c r="FI16" s="309"/>
      <c r="FJ16" s="309"/>
      <c r="FK16" s="309"/>
      <c r="FL16" s="309"/>
    </row>
    <row r="17" spans="1:168">
      <c r="A17" t="str">
        <f>'Translate&amp;Prices&amp;Logo'!$B$17</f>
        <v>Corleone (elox.)- maksymalna zalecana długość profilu 1500 mm</v>
      </c>
      <c r="B17">
        <v>2</v>
      </c>
      <c r="C17" t="s">
        <v>662</v>
      </c>
      <c r="D17">
        <v>0</v>
      </c>
      <c r="E17">
        <v>3</v>
      </c>
      <c r="F17">
        <f>'Translate&amp;Prices&amp;Logo'!$B$82</f>
        <v>0</v>
      </c>
      <c r="AA17" t="s">
        <v>1052</v>
      </c>
      <c r="AB17" t="s">
        <v>1056</v>
      </c>
      <c r="AC17">
        <v>0</v>
      </c>
      <c r="AD17">
        <v>0</v>
      </c>
      <c r="AF17" t="s">
        <v>107</v>
      </c>
      <c r="AG17" t="s">
        <v>1061</v>
      </c>
      <c r="AY17" t="s">
        <v>2577</v>
      </c>
      <c r="AZ17" t="s">
        <v>2579</v>
      </c>
      <c r="CA17">
        <v>480</v>
      </c>
      <c r="CD17" t="str">
        <f>'Translate&amp;Prices&amp;Logo'!B660</f>
        <v>StrongLift_dolny</v>
      </c>
      <c r="CE17">
        <v>1</v>
      </c>
      <c r="CF17">
        <v>1</v>
      </c>
      <c r="DN17" t="s">
        <v>1363</v>
      </c>
      <c r="DO17" s="2" t="s">
        <v>70</v>
      </c>
      <c r="ED17" t="s">
        <v>1784</v>
      </c>
      <c r="EE17" t="s">
        <v>1878</v>
      </c>
      <c r="ER17" t="s">
        <v>2589</v>
      </c>
      <c r="ES17" t="s">
        <v>2589</v>
      </c>
      <c r="FC17" s="309"/>
      <c r="FD17" s="309"/>
      <c r="FE17" s="309"/>
      <c r="FF17" s="309"/>
      <c r="FG17" s="309"/>
      <c r="FH17" s="309"/>
      <c r="FI17" s="309"/>
      <c r="FJ17" s="309"/>
      <c r="FK17" s="309"/>
      <c r="FL17" s="309"/>
    </row>
    <row r="18" spans="1:168">
      <c r="A18" t="str">
        <f>'Translate&amp;Prices&amp;Logo'!$B$18</f>
        <v>Corleone czarny matowy - maksymalna zalecana długość profilu 1500 mm</v>
      </c>
      <c r="B18">
        <v>2</v>
      </c>
      <c r="C18" t="s">
        <v>662</v>
      </c>
      <c r="D18">
        <v>0</v>
      </c>
      <c r="F18" t="str">
        <f>'Translate&amp;Prices&amp;Logo'!$B$80</f>
        <v>Rocca elox (lewa i prawa) + Varna elox (góra i dół)</v>
      </c>
      <c r="AA18" t="s">
        <v>1052</v>
      </c>
      <c r="AB18" t="s">
        <v>1057</v>
      </c>
      <c r="AC18">
        <v>0</v>
      </c>
      <c r="AD18">
        <v>0</v>
      </c>
      <c r="AF18" t="s">
        <v>108</v>
      </c>
      <c r="AG18" t="s">
        <v>1061</v>
      </c>
      <c r="AY18" t="s">
        <v>2577</v>
      </c>
      <c r="AZ18" t="s">
        <v>2580</v>
      </c>
      <c r="CA18">
        <v>576</v>
      </c>
      <c r="CD18" t="s">
        <v>1071</v>
      </c>
      <c r="CE18">
        <v>1</v>
      </c>
      <c r="CF18">
        <v>0</v>
      </c>
      <c r="DN18" t="s">
        <v>1364</v>
      </c>
      <c r="DO18" s="2" t="s">
        <v>71</v>
      </c>
      <c r="ED18" t="s">
        <v>1785</v>
      </c>
      <c r="EE18" t="s">
        <v>1879</v>
      </c>
      <c r="ER18" t="s">
        <v>2591</v>
      </c>
      <c r="ES18" t="s">
        <v>2591</v>
      </c>
      <c r="FC18" s="309"/>
      <c r="FD18" s="309"/>
      <c r="FE18" s="309"/>
      <c r="FF18" s="309"/>
      <c r="FH18" s="309"/>
      <c r="FI18" s="309"/>
    </row>
    <row r="19" spans="1:168">
      <c r="A19" t="str">
        <f>'Translate&amp;Prices&amp;Logo'!$B$59</f>
        <v>ASTI  czarne  - maksymalna zalecana długość profilu 2150</v>
      </c>
      <c r="B19">
        <v>1</v>
      </c>
      <c r="C19" t="s">
        <v>1084</v>
      </c>
      <c r="D19">
        <v>0</v>
      </c>
      <c r="F19" t="str">
        <f>'Translate&amp;Prices&amp;Logo'!$B$81</f>
        <v>Rocca czarny (lewa i prawa) + Varna czarny (góra i dół)</v>
      </c>
      <c r="AA19" t="s">
        <v>1052</v>
      </c>
      <c r="AB19" t="s">
        <v>1059</v>
      </c>
      <c r="AC19">
        <v>0</v>
      </c>
      <c r="AD19">
        <v>0</v>
      </c>
      <c r="AF19" t="s">
        <v>107</v>
      </c>
      <c r="AG19" t="s">
        <v>1063</v>
      </c>
      <c r="AY19" t="s">
        <v>2577</v>
      </c>
      <c r="AZ19" t="s">
        <v>2581</v>
      </c>
      <c r="CA19">
        <v>672</v>
      </c>
      <c r="DN19" t="s">
        <v>1716</v>
      </c>
      <c r="DO19" t="s">
        <v>69</v>
      </c>
      <c r="ED19" t="s">
        <v>1786</v>
      </c>
      <c r="EE19" t="s">
        <v>1880</v>
      </c>
      <c r="ER19" t="s">
        <v>2593</v>
      </c>
      <c r="ES19" t="s">
        <v>2593</v>
      </c>
      <c r="FE19" s="309"/>
      <c r="FF19" s="309"/>
      <c r="FH19" s="309"/>
      <c r="FI19" s="309"/>
    </row>
    <row r="20" spans="1:168">
      <c r="A20" t="str">
        <f>'Translate&amp;Prices&amp;Logo'!$B$60</f>
        <v>ASTI  antracyt mat RAL 7021 mat lakier - maksymalna zalecana długość profilu 2500 mm</v>
      </c>
      <c r="B20">
        <v>1</v>
      </c>
      <c r="C20" t="s">
        <v>1084</v>
      </c>
      <c r="D20">
        <v>0</v>
      </c>
      <c r="AA20" t="s">
        <v>1052</v>
      </c>
      <c r="AB20" t="s">
        <v>1055</v>
      </c>
      <c r="AC20">
        <v>1</v>
      </c>
      <c r="AD20">
        <v>0</v>
      </c>
      <c r="AF20" t="s">
        <v>108</v>
      </c>
      <c r="AG20" t="s">
        <v>1063</v>
      </c>
      <c r="AY20" t="s">
        <v>2577</v>
      </c>
      <c r="AZ20" t="s">
        <v>2582</v>
      </c>
      <c r="CA20">
        <v>736</v>
      </c>
      <c r="DN20" t="s">
        <v>1573</v>
      </c>
      <c r="DO20" t="s">
        <v>70</v>
      </c>
      <c r="ED20" t="s">
        <v>1787</v>
      </c>
      <c r="EE20" t="s">
        <v>1881</v>
      </c>
      <c r="ER20" t="s">
        <v>2595</v>
      </c>
      <c r="ES20" t="s">
        <v>2595</v>
      </c>
    </row>
    <row r="21" spans="1:168">
      <c r="A21" t="str">
        <f>'Translate&amp;Prices&amp;Logo'!$B$19</f>
        <v>Imola (elox.) - maksymalna zalecana długość profilu 2500 mm</v>
      </c>
      <c r="B21">
        <v>2</v>
      </c>
      <c r="C21" t="s">
        <v>1084</v>
      </c>
      <c r="D21">
        <v>0</v>
      </c>
      <c r="AA21" t="s">
        <v>1052</v>
      </c>
      <c r="AB21" t="s">
        <v>1211</v>
      </c>
      <c r="AC21">
        <v>1</v>
      </c>
      <c r="AD21">
        <v>0</v>
      </c>
      <c r="AF21" t="s">
        <v>107</v>
      </c>
      <c r="AG21" t="s">
        <v>1064</v>
      </c>
      <c r="CA21">
        <v>768</v>
      </c>
      <c r="DN21" t="s">
        <v>991</v>
      </c>
      <c r="DO21" t="s">
        <v>71</v>
      </c>
      <c r="ED21" t="s">
        <v>1788</v>
      </c>
      <c r="EE21" t="s">
        <v>1882</v>
      </c>
      <c r="ER21" t="s">
        <v>2597</v>
      </c>
      <c r="ES21" t="s">
        <v>2597</v>
      </c>
    </row>
    <row r="22" spans="1:168">
      <c r="A22" t="str">
        <f>'Translate&amp;Prices&amp;Logo'!$B$20</f>
        <v>Imola Czarny matowy - maksymalna zalecana długość profilu 2500 mm</v>
      </c>
      <c r="B22">
        <v>2</v>
      </c>
      <c r="C22" t="s">
        <v>1084</v>
      </c>
      <c r="D22">
        <v>0</v>
      </c>
      <c r="AA22" t="s">
        <v>1052</v>
      </c>
      <c r="AB22" t="s">
        <v>1060</v>
      </c>
      <c r="AC22">
        <v>1</v>
      </c>
      <c r="AD22">
        <v>0</v>
      </c>
      <c r="AF22" t="s">
        <v>108</v>
      </c>
      <c r="AG22" t="s">
        <v>1064</v>
      </c>
      <c r="CA22">
        <v>832</v>
      </c>
      <c r="DN22" s="390" t="s">
        <v>4027</v>
      </c>
      <c r="DO22" s="2" t="s">
        <v>69</v>
      </c>
      <c r="ED22" t="s">
        <v>1789</v>
      </c>
      <c r="EE22" t="s">
        <v>1883</v>
      </c>
      <c r="ER22" t="s">
        <v>2285</v>
      </c>
      <c r="ES22" t="s">
        <v>2285</v>
      </c>
    </row>
    <row r="23" spans="1:168">
      <c r="A23" t="str">
        <f>'Translate&amp;Prices&amp;Logo'!$B$21</f>
        <v>Imola bialy matowy RAL 9003 - maksymalna zalecana długość profilu 2500 mm</v>
      </c>
      <c r="B23">
        <v>2</v>
      </c>
      <c r="C23" t="s">
        <v>1084</v>
      </c>
      <c r="D23">
        <v>0</v>
      </c>
      <c r="AA23" t="s">
        <v>1052</v>
      </c>
      <c r="AB23" t="e">
        <f>IF(Ram_1!AU7=2,"FREEspace"," ")</f>
        <v>#N/A</v>
      </c>
      <c r="AC23">
        <v>0</v>
      </c>
      <c r="AD23">
        <v>0</v>
      </c>
      <c r="AF23" t="s">
        <v>107</v>
      </c>
      <c r="AG23" t="s">
        <v>1065</v>
      </c>
      <c r="CA23">
        <v>960</v>
      </c>
      <c r="DN23" s="390" t="s">
        <v>4028</v>
      </c>
      <c r="DO23" s="2" t="s">
        <v>70</v>
      </c>
      <c r="ED23" t="s">
        <v>1790</v>
      </c>
      <c r="EE23" t="s">
        <v>3406</v>
      </c>
      <c r="ER23" t="s">
        <v>2286</v>
      </c>
      <c r="ES23" t="s">
        <v>2286</v>
      </c>
    </row>
    <row r="24" spans="1:168">
      <c r="A24" t="str">
        <f>'Translate&amp;Prices&amp;Logo'!$B$45</f>
        <v>Imola złota - maksymalna zalecana zalecana długość profilu 2150 mm</v>
      </c>
      <c r="B24">
        <v>2</v>
      </c>
      <c r="C24" t="s">
        <v>1084</v>
      </c>
      <c r="D24">
        <v>0</v>
      </c>
      <c r="AF24" t="s">
        <v>108</v>
      </c>
      <c r="AG24" t="s">
        <v>1065</v>
      </c>
      <c r="DN24" s="390" t="s">
        <v>4029</v>
      </c>
      <c r="DO24" s="2" t="s">
        <v>71</v>
      </c>
      <c r="ED24" t="s">
        <v>1791</v>
      </c>
      <c r="EE24" t="s">
        <v>3407</v>
      </c>
      <c r="ER24" t="s">
        <v>2287</v>
      </c>
      <c r="ES24" t="s">
        <v>2287</v>
      </c>
    </row>
    <row r="25" spans="1:168">
      <c r="A25" t="str">
        <f>'Translate&amp;Prices&amp;Logo'!$B$22</f>
        <v>Modena (elox.) - maksymalna zalecana długość profilu 2500 mm</v>
      </c>
      <c r="B25">
        <v>2</v>
      </c>
      <c r="C25" t="s">
        <v>662</v>
      </c>
      <c r="D25">
        <v>0</v>
      </c>
      <c r="AF25" t="s">
        <v>107</v>
      </c>
      <c r="AG25" t="s">
        <v>1066</v>
      </c>
      <c r="ED25" t="s">
        <v>1792</v>
      </c>
      <c r="EE25" t="s">
        <v>3408</v>
      </c>
      <c r="ER25" t="s">
        <v>2292</v>
      </c>
      <c r="ES25" t="s">
        <v>2292</v>
      </c>
    </row>
    <row r="26" spans="1:168">
      <c r="A26" t="str">
        <f>'Translate&amp;Prices&amp;Logo'!$B$23</f>
        <v>Modena Czarny matowy - maksymalna zalecana długość profilu 2500 mm</v>
      </c>
      <c r="B26">
        <v>2</v>
      </c>
      <c r="C26" t="s">
        <v>662</v>
      </c>
      <c r="D26">
        <v>0</v>
      </c>
      <c r="AF26" t="s">
        <v>108</v>
      </c>
      <c r="AG26" t="s">
        <v>1066</v>
      </c>
      <c r="ED26" t="s">
        <v>1793</v>
      </c>
      <c r="EE26" t="s">
        <v>3409</v>
      </c>
      <c r="ER26" t="s">
        <v>2293</v>
      </c>
      <c r="ES26" t="s">
        <v>2293</v>
      </c>
    </row>
    <row r="27" spans="1:168">
      <c r="A27" t="str">
        <f>'Translate&amp;Prices&amp;Logo'!$B$25</f>
        <v>Modena czarna szczotka - maksymalna zalecana długość profilu 2500 mm</v>
      </c>
      <c r="B27">
        <v>2</v>
      </c>
      <c r="C27" t="s">
        <v>662</v>
      </c>
      <c r="D27">
        <v>0</v>
      </c>
      <c r="AF27" t="s">
        <v>107</v>
      </c>
      <c r="AG27" t="s">
        <v>1067</v>
      </c>
      <c r="ED27" t="s">
        <v>1794</v>
      </c>
      <c r="EE27" t="s">
        <v>3411</v>
      </c>
      <c r="ER27" t="s">
        <v>2294</v>
      </c>
      <c r="ES27" t="s">
        <v>2294</v>
      </c>
    </row>
    <row r="28" spans="1:168">
      <c r="A28" t="str">
        <f>'Translate&amp;Prices&amp;Logo'!$B$26</f>
        <v>Modena INOX (stal nierdzewna) - maksymalna zalecana długość profilu 2500 mm</v>
      </c>
      <c r="B28">
        <v>2</v>
      </c>
      <c r="C28" t="s">
        <v>662</v>
      </c>
      <c r="D28">
        <v>0</v>
      </c>
      <c r="AA28" t="s">
        <v>2206</v>
      </c>
      <c r="AB28" t="s">
        <v>1098</v>
      </c>
      <c r="AF28" t="s">
        <v>108</v>
      </c>
      <c r="AG28" t="s">
        <v>1067</v>
      </c>
      <c r="ED28" t="s">
        <v>1795</v>
      </c>
      <c r="EE28" t="s">
        <v>3412</v>
      </c>
      <c r="ER28" t="s">
        <v>2598</v>
      </c>
      <c r="ES28" t="s">
        <v>2598</v>
      </c>
    </row>
    <row r="29" spans="1:168">
      <c r="A29" t="str">
        <f>'Translate&amp;Prices&amp;Logo'!$B$29</f>
        <v>Pisa (elox.) - maksymalna zalecana długość profilu 2500 mm</v>
      </c>
      <c r="B29">
        <v>2</v>
      </c>
      <c r="C29" t="s">
        <v>1084</v>
      </c>
      <c r="D29">
        <v>0</v>
      </c>
      <c r="AA29" t="s">
        <v>1062</v>
      </c>
      <c r="AB29" t="s">
        <v>1061</v>
      </c>
      <c r="AC29">
        <v>1</v>
      </c>
      <c r="AD29">
        <v>0</v>
      </c>
      <c r="AF29" t="s">
        <v>107</v>
      </c>
      <c r="AG29" t="s">
        <v>1068</v>
      </c>
      <c r="ED29" t="s">
        <v>1796</v>
      </c>
      <c r="EE29" t="s">
        <v>3413</v>
      </c>
      <c r="ER29" t="s">
        <v>2599</v>
      </c>
      <c r="ES29" t="s">
        <v>2599</v>
      </c>
    </row>
    <row r="30" spans="1:168">
      <c r="A30" t="str">
        <f>'Translate&amp;Prices&amp;Logo'!$B$52</f>
        <v>Pisa biały matowy RAL 9003 - maksymalna zalecana zalecana długość profilu 2500 mm</v>
      </c>
      <c r="B30">
        <v>2</v>
      </c>
      <c r="C30" t="s">
        <v>1084</v>
      </c>
      <c r="D30">
        <v>0</v>
      </c>
      <c r="AA30" t="s">
        <v>1062</v>
      </c>
      <c r="AB30" t="str">
        <f>CONCATENATE('Translate&amp;Prices&amp;Logo'!B664,"_K12")</f>
        <v>dolny_K12</v>
      </c>
      <c r="AC30">
        <v>1</v>
      </c>
      <c r="AD30">
        <v>0</v>
      </c>
      <c r="AF30" t="s">
        <v>108</v>
      </c>
      <c r="AG30" t="s">
        <v>1068</v>
      </c>
      <c r="ED30" t="s">
        <v>1797</v>
      </c>
      <c r="EE30" t="s">
        <v>3414</v>
      </c>
      <c r="ER30" t="s">
        <v>2600</v>
      </c>
      <c r="ES30" t="s">
        <v>2600</v>
      </c>
    </row>
    <row r="31" spans="1:168">
      <c r="A31" t="str">
        <f>'Translate&amp;Prices&amp;Logo'!$B$53</f>
        <v>Pisa biały połysk RAL 9003 - maksymalna zalecana zalecana długość profilu 2500 mm</v>
      </c>
      <c r="B31">
        <v>2</v>
      </c>
      <c r="C31" t="s">
        <v>1084</v>
      </c>
      <c r="D31">
        <v>0</v>
      </c>
      <c r="AA31" t="s">
        <v>1062</v>
      </c>
      <c r="AB31" t="s">
        <v>1064</v>
      </c>
      <c r="AC31">
        <v>1</v>
      </c>
      <c r="AD31">
        <v>0</v>
      </c>
      <c r="AF31" t="s">
        <v>107</v>
      </c>
      <c r="AG31" t="s">
        <v>1069</v>
      </c>
      <c r="ED31" t="s">
        <v>1798</v>
      </c>
      <c r="EE31" t="s">
        <v>3415</v>
      </c>
      <c r="ER31" t="s">
        <v>2601</v>
      </c>
      <c r="ES31" t="s">
        <v>2601</v>
      </c>
    </row>
    <row r="32" spans="1:168">
      <c r="A32" t="str">
        <f>'Translate&amp;Prices&amp;Logo'!$B$30</f>
        <v>Pisa Czarny matowy - maksymalna zalecana długość profilu 2500 mm</v>
      </c>
      <c r="B32">
        <v>2</v>
      </c>
      <c r="C32" t="s">
        <v>1084</v>
      </c>
      <c r="D32">
        <v>0</v>
      </c>
      <c r="AA32" t="s">
        <v>1062</v>
      </c>
      <c r="AB32" t="str">
        <f>CONCATENATE('Translate&amp;Prices&amp;Logo'!B664,"_kraby")</f>
        <v>dolny_kraby</v>
      </c>
      <c r="AC32">
        <v>1</v>
      </c>
      <c r="AD32">
        <v>0</v>
      </c>
      <c r="AF32" t="s">
        <v>108</v>
      </c>
      <c r="AG32" t="s">
        <v>1069</v>
      </c>
      <c r="BY32" t="str">
        <f>'Translate&amp;Prices&amp;Logo'!$B$230</f>
        <v>W lewo</v>
      </c>
      <c r="BZ32" t="str">
        <f>'Translate&amp;Prices&amp;Logo'!$B$589</f>
        <v>(dolnej)</v>
      </c>
      <c r="CA32" t="str">
        <f>'Translate&amp;Prices&amp;Logo'!$B$591</f>
        <v>(górnej)</v>
      </c>
      <c r="CC32" t="str">
        <f>'Translate&amp;Prices&amp;Logo'!$O$589</f>
        <v>(dolnej)</v>
      </c>
      <c r="CD32" t="str">
        <f>'Translate&amp;Prices&amp;Logo'!$O$591</f>
        <v>(górnej)</v>
      </c>
      <c r="ED32" t="s">
        <v>1799</v>
      </c>
      <c r="EE32" t="s">
        <v>3416</v>
      </c>
      <c r="ER32" t="s">
        <v>2602</v>
      </c>
      <c r="ES32" t="s">
        <v>2602</v>
      </c>
    </row>
    <row r="33" spans="1:149">
      <c r="A33" t="str">
        <f>'Translate&amp;Prices&amp;Logo'!$B$58</f>
        <v>Pisa złota - maksymalna zalecana długość profilu 2150 mm</v>
      </c>
      <c r="B33">
        <v>2</v>
      </c>
      <c r="C33" t="s">
        <v>1084</v>
      </c>
      <c r="D33">
        <v>0</v>
      </c>
      <c r="AA33" t="s">
        <v>1062</v>
      </c>
      <c r="AB33" t="s">
        <v>1066</v>
      </c>
      <c r="AC33">
        <v>1</v>
      </c>
      <c r="AD33">
        <v>0</v>
      </c>
      <c r="AF33" t="s">
        <v>107</v>
      </c>
      <c r="AG33" t="s">
        <v>1071</v>
      </c>
      <c r="BY33" t="str">
        <f>'Translate&amp;Prices&amp;Logo'!$B$229</f>
        <v>W prawo</v>
      </c>
      <c r="BZ33" t="str">
        <f>'Translate&amp;Prices&amp;Logo'!$B$589</f>
        <v>(dolnej)</v>
      </c>
      <c r="CA33" t="str">
        <f>'Translate&amp;Prices&amp;Logo'!$B$591</f>
        <v>(górnej)</v>
      </c>
      <c r="CC33" t="str">
        <f>'Translate&amp;Prices&amp;Logo'!$O$589</f>
        <v>(dolnej)</v>
      </c>
      <c r="CD33" t="str">
        <f>'Translate&amp;Prices&amp;Logo'!$O$591</f>
        <v>(górnej)</v>
      </c>
      <c r="ED33" t="s">
        <v>1800</v>
      </c>
      <c r="EE33" t="s">
        <v>3417</v>
      </c>
      <c r="ER33" t="s">
        <v>2603</v>
      </c>
      <c r="ES33" t="s">
        <v>2603</v>
      </c>
    </row>
    <row r="34" spans="1:149">
      <c r="A34" t="str">
        <f>'Translate&amp;Prices&amp;Logo'!$B$50</f>
        <v>Rocca (elox.) - maksymalna zalecana zalecana długość profilu 2150 mm</v>
      </c>
      <c r="B34">
        <v>1</v>
      </c>
      <c r="C34" t="s">
        <v>662</v>
      </c>
      <c r="D34">
        <v>0</v>
      </c>
      <c r="AA34" t="s">
        <v>1062</v>
      </c>
      <c r="AB34" t="s">
        <v>1067</v>
      </c>
      <c r="AC34">
        <v>1</v>
      </c>
      <c r="AD34">
        <v>0</v>
      </c>
      <c r="AF34" t="s">
        <v>108</v>
      </c>
      <c r="AG34" t="s">
        <v>1071</v>
      </c>
      <c r="BY34" t="str">
        <f>'Translate&amp;Prices&amp;Logo'!$B$227</f>
        <v>W górę</v>
      </c>
      <c r="BZ34" t="str">
        <f>'Translate&amp;Prices&amp;Logo'!$B$590</f>
        <v>(lewej)</v>
      </c>
      <c r="CA34" t="str">
        <f>'Translate&amp;Prices&amp;Logo'!$B$592</f>
        <v>(prawej)</v>
      </c>
      <c r="CC34" t="str">
        <f>'Translate&amp;Prices&amp;Logo'!$O$590</f>
        <v>(lewej)</v>
      </c>
      <c r="CD34" t="str">
        <f>'Translate&amp;Prices&amp;Logo'!$O$592</f>
        <v>(prawej)</v>
      </c>
      <c r="ED34" t="s">
        <v>1801</v>
      </c>
      <c r="EE34" t="s">
        <v>3418</v>
      </c>
      <c r="ER34" t="s">
        <v>2295</v>
      </c>
      <c r="ES34" t="s">
        <v>2295</v>
      </c>
    </row>
    <row r="35" spans="1:149">
      <c r="A35" t="str">
        <f>'Translate&amp;Prices&amp;Logo'!$B$42</f>
        <v>Rocca czarny matowy - maksymalna zalecana zalecana długość profilu 2150 mm</v>
      </c>
      <c r="B35">
        <v>1</v>
      </c>
      <c r="C35" t="s">
        <v>662</v>
      </c>
      <c r="D35">
        <v>0</v>
      </c>
      <c r="BY35" t="str">
        <f>'Translate&amp;Prices&amp;Logo'!$B$228</f>
        <v>W dół</v>
      </c>
      <c r="BZ35" t="str">
        <f>'Translate&amp;Prices&amp;Logo'!$B$590</f>
        <v>(lewej)</v>
      </c>
      <c r="CA35" t="str">
        <f>'Translate&amp;Prices&amp;Logo'!$B$592</f>
        <v>(prawej)</v>
      </c>
      <c r="CC35" t="str">
        <f>'Translate&amp;Prices&amp;Logo'!$O$590</f>
        <v>(lewej)</v>
      </c>
      <c r="CD35" t="str">
        <f>'Translate&amp;Prices&amp;Logo'!$O$592</f>
        <v>(prawej)</v>
      </c>
      <c r="ED35" t="s">
        <v>1802</v>
      </c>
      <c r="EE35" t="s">
        <v>1896</v>
      </c>
      <c r="ER35" t="s">
        <v>2296</v>
      </c>
      <c r="ES35" t="s">
        <v>2296</v>
      </c>
    </row>
    <row r="36" spans="1:149">
      <c r="A36" t="str">
        <f>'Translate&amp;Prices&amp;Logo'!$B$34</f>
        <v>Verona (elox.) - maksymalna zalecana zalecana długość profilu 2500 mm</v>
      </c>
      <c r="B36">
        <v>1</v>
      </c>
      <c r="C36" t="s">
        <v>662</v>
      </c>
      <c r="D36">
        <v>0</v>
      </c>
      <c r="ED36" t="s">
        <v>1741</v>
      </c>
      <c r="EE36" t="s">
        <v>1897</v>
      </c>
      <c r="ER36" t="s">
        <v>2297</v>
      </c>
      <c r="ES36" t="s">
        <v>2297</v>
      </c>
    </row>
    <row r="37" spans="1:149">
      <c r="A37" t="str">
        <f>'Translate&amp;Prices&amp;Logo'!$B$35</f>
        <v>Verona szczotkowany - maksymalna zalecana zalecana długość profilu 2500 mm</v>
      </c>
      <c r="B37">
        <v>1</v>
      </c>
      <c r="C37" t="s">
        <v>662</v>
      </c>
      <c r="D37">
        <v>0</v>
      </c>
      <c r="BY37" t="s">
        <v>1451</v>
      </c>
      <c r="ED37" t="s">
        <v>1742</v>
      </c>
      <c r="EE37" t="s">
        <v>1898</v>
      </c>
      <c r="ER37" t="s">
        <v>2342</v>
      </c>
      <c r="ES37" t="s">
        <v>2336</v>
      </c>
    </row>
    <row r="38" spans="1:149">
      <c r="A38" t="str">
        <f>'Translate&amp;Prices&amp;Logo'!$B$37</f>
        <v>Verona czarny matowy - maksymalna zalecana zalecana długość profilu 2500 mm</v>
      </c>
      <c r="B38">
        <v>1</v>
      </c>
      <c r="C38" t="s">
        <v>662</v>
      </c>
      <c r="D38">
        <v>0</v>
      </c>
      <c r="ED38" t="s">
        <v>1743</v>
      </c>
      <c r="EE38" t="s">
        <v>1899</v>
      </c>
      <c r="ER38" t="s">
        <v>2343</v>
      </c>
      <c r="ES38" t="s">
        <v>2337</v>
      </c>
    </row>
    <row r="39" spans="1:149">
      <c r="A39" t="str">
        <f>'Translate&amp;Prices&amp;Logo'!$B$36</f>
        <v>Verona czarny połysk - maksymalna zalecana zalecana długość profilu 2500 mm</v>
      </c>
      <c r="B39">
        <v>1</v>
      </c>
      <c r="C39" t="s">
        <v>662</v>
      </c>
      <c r="D39">
        <v>0</v>
      </c>
      <c r="AA39" t="s">
        <v>2641</v>
      </c>
      <c r="AB39" t="s">
        <v>2639</v>
      </c>
      <c r="ED39" t="s">
        <v>1744</v>
      </c>
      <c r="EE39" t="s">
        <v>1900</v>
      </c>
      <c r="ER39" t="s">
        <v>2344</v>
      </c>
      <c r="ES39" t="s">
        <v>2338</v>
      </c>
    </row>
    <row r="40" spans="1:149">
      <c r="A40" t="str">
        <f>'Translate&amp;Prices&amp;Logo'!$B$38</f>
        <v>Verona braz - maksymalna zalecana zalecana długość profilu 2500 mm</v>
      </c>
      <c r="B40">
        <v>1</v>
      </c>
      <c r="C40" t="s">
        <v>662</v>
      </c>
      <c r="D40">
        <v>0</v>
      </c>
      <c r="AA40" t="s">
        <v>2641</v>
      </c>
      <c r="AB40" t="str">
        <f>'Translate&amp;Prices&amp;Logo'!B659</f>
        <v>StrongLift_gorny</v>
      </c>
      <c r="AC40">
        <v>1</v>
      </c>
      <c r="AD40">
        <v>0</v>
      </c>
      <c r="ED40" t="s">
        <v>1745</v>
      </c>
      <c r="EE40" t="s">
        <v>1901</v>
      </c>
      <c r="ER40" t="s">
        <v>2345</v>
      </c>
      <c r="ES40" t="s">
        <v>2339</v>
      </c>
    </row>
    <row r="41" spans="1:149">
      <c r="A41" t="str">
        <f>'Translate&amp;Prices&amp;Logo'!$B$39</f>
        <v>Verona szampański - maksymalna zalecana zalecana długość profilu 2500 mm</v>
      </c>
      <c r="B41">
        <v>1</v>
      </c>
      <c r="C41" t="s">
        <v>662</v>
      </c>
      <c r="D41">
        <v>0</v>
      </c>
      <c r="AB41" t="str">
        <f>'Translate&amp;Prices&amp;Logo'!B660</f>
        <v>StrongLift_dolny</v>
      </c>
      <c r="AC41">
        <v>1</v>
      </c>
      <c r="AD41">
        <v>0</v>
      </c>
      <c r="ED41" t="s">
        <v>1746</v>
      </c>
      <c r="EE41" t="s">
        <v>1902</v>
      </c>
      <c r="ER41" t="s">
        <v>2346</v>
      </c>
      <c r="ES41" t="s">
        <v>2340</v>
      </c>
    </row>
    <row r="42" spans="1:149">
      <c r="A42" t="str">
        <f>'Translate&amp;Prices&amp;Logo'!$B$40</f>
        <v>Verona Inox szczotkowany - maksymalna zalecana zalecana długość profilu 2500 mm</v>
      </c>
      <c r="B42">
        <v>1</v>
      </c>
      <c r="C42" t="s">
        <v>662</v>
      </c>
      <c r="D42">
        <v>0</v>
      </c>
      <c r="AA42" t="s">
        <v>2207</v>
      </c>
      <c r="AB42" t="s">
        <v>1097</v>
      </c>
      <c r="ED42" t="s">
        <v>1747</v>
      </c>
      <c r="EE42" t="s">
        <v>1903</v>
      </c>
      <c r="ER42" t="s">
        <v>2347</v>
      </c>
      <c r="ES42" t="s">
        <v>2341</v>
      </c>
    </row>
    <row r="43" spans="1:149">
      <c r="A43" t="str">
        <f>'Translate&amp;Prices&amp;Logo'!$B$41</f>
        <v>Verona Inox Acier szczotkowany - maksymalna zalecana zalecana długość profilu 2500 mm</v>
      </c>
      <c r="B43">
        <v>1</v>
      </c>
      <c r="C43" t="s">
        <v>662</v>
      </c>
      <c r="D43">
        <v>0</v>
      </c>
      <c r="AA43" t="s">
        <v>1070</v>
      </c>
      <c r="AB43" t="s">
        <v>1217</v>
      </c>
      <c r="AC43">
        <v>0</v>
      </c>
      <c r="AD43">
        <v>0</v>
      </c>
      <c r="ED43" t="s">
        <v>1748</v>
      </c>
      <c r="EE43" t="s">
        <v>1904</v>
      </c>
      <c r="ER43" t="s">
        <v>2612</v>
      </c>
      <c r="ES43" t="s">
        <v>2604</v>
      </c>
    </row>
    <row r="44" spans="1:149">
      <c r="A44" t="str">
        <f>'Translate&amp;Prices&amp;Logo'!$B$24</f>
        <v>Verona złota - maksymalna zalecana długość profilu 2150 mm</v>
      </c>
      <c r="B44">
        <v>1</v>
      </c>
      <c r="C44" t="s">
        <v>662</v>
      </c>
      <c r="D44">
        <v>0</v>
      </c>
      <c r="AA44" t="s">
        <v>1070</v>
      </c>
      <c r="AB44" t="s">
        <v>1071</v>
      </c>
      <c r="AC44">
        <v>1</v>
      </c>
      <c r="AD44">
        <v>0</v>
      </c>
      <c r="ED44" t="s">
        <v>1749</v>
      </c>
      <c r="EE44" t="s">
        <v>1905</v>
      </c>
      <c r="ER44" t="s">
        <v>2613</v>
      </c>
      <c r="ES44" t="s">
        <v>2605</v>
      </c>
    </row>
    <row r="45" spans="1:149">
      <c r="A45" t="str">
        <f>'Translate&amp;Prices&amp;Logo'!$B$56</f>
        <v>Verona złota szczotkowany - maksymalna zalecana zalecana długość profilu 2150 mm</v>
      </c>
      <c r="B45">
        <v>1</v>
      </c>
      <c r="C45" t="s">
        <v>662</v>
      </c>
      <c r="D45">
        <v>0</v>
      </c>
      <c r="AB45" t="s">
        <v>1218</v>
      </c>
      <c r="AC45">
        <v>0</v>
      </c>
      <c r="AD45">
        <v>0</v>
      </c>
      <c r="ED45" t="s">
        <v>1750</v>
      </c>
      <c r="EE45" t="s">
        <v>1906</v>
      </c>
      <c r="ER45" t="s">
        <v>2366</v>
      </c>
      <c r="ES45" t="s">
        <v>2360</v>
      </c>
    </row>
    <row r="46" spans="1:149">
      <c r="A46" t="str">
        <f>'Translate&amp;Prices&amp;Logo'!$B$43</f>
        <v>Vivaro (elox.) - maksymalna zalecana zalecana długość profilu 2500 mm</v>
      </c>
      <c r="B46">
        <v>2</v>
      </c>
      <c r="C46" t="s">
        <v>662</v>
      </c>
      <c r="D46">
        <v>1</v>
      </c>
      <c r="ED46" t="s">
        <v>1751</v>
      </c>
      <c r="EE46" t="s">
        <v>1907</v>
      </c>
      <c r="ER46" t="s">
        <v>2367</v>
      </c>
      <c r="ES46" t="s">
        <v>2361</v>
      </c>
    </row>
    <row r="47" spans="1:149">
      <c r="A47" t="str">
        <f>'Translate&amp;Prices&amp;Logo'!$B$44</f>
        <v>Vivaro czarny matowy - maksymalna zalecana zalecana długość profilu 2500 mm</v>
      </c>
      <c r="B47">
        <v>2</v>
      </c>
      <c r="C47" t="s">
        <v>662</v>
      </c>
      <c r="D47">
        <v>1</v>
      </c>
      <c r="ED47" t="s">
        <v>1752</v>
      </c>
      <c r="EE47" t="s">
        <v>1908</v>
      </c>
      <c r="ER47" t="s">
        <v>2368</v>
      </c>
      <c r="ES47" t="s">
        <v>2362</v>
      </c>
    </row>
    <row r="48" spans="1:149">
      <c r="A48" t="str">
        <f>'Translate&amp;Prices&amp;Logo'!$B$46</f>
        <v>Vivaro INOX (stal nierdzewna) - maksymalna zalecana zalecana długość profilu 2500 mm</v>
      </c>
      <c r="B48">
        <v>2</v>
      </c>
      <c r="C48" t="s">
        <v>662</v>
      </c>
      <c r="D48">
        <v>0</v>
      </c>
      <c r="ED48" t="s">
        <v>1753</v>
      </c>
      <c r="EE48" t="s">
        <v>1909</v>
      </c>
      <c r="ER48" t="s">
        <v>2369</v>
      </c>
      <c r="ES48" t="s">
        <v>2363</v>
      </c>
    </row>
    <row r="49" spans="1:149">
      <c r="A49" t="str">
        <f>'Translate&amp;Prices&amp;Logo'!$B$47</f>
        <v>Vivaro biały matowy RAL 9003 - maksymalna zalecana zalecana długość profilu 2500 mm</v>
      </c>
      <c r="B49">
        <v>2</v>
      </c>
      <c r="C49" t="s">
        <v>662</v>
      </c>
      <c r="D49">
        <v>0</v>
      </c>
      <c r="AA49" t="s">
        <v>2208</v>
      </c>
      <c r="AB49" t="s">
        <v>2210</v>
      </c>
      <c r="ED49" t="s">
        <v>1754</v>
      </c>
      <c r="EE49" t="s">
        <v>1910</v>
      </c>
      <c r="ER49" t="s">
        <v>2370</v>
      </c>
      <c r="ES49" t="s">
        <v>2364</v>
      </c>
    </row>
    <row r="50" spans="1:149">
      <c r="A50" t="str">
        <f>'Translate&amp;Prices&amp;Logo'!$B$48</f>
        <v>Vivaro biały połysk RAL 9003 - maksymalna zalecana zalecana długość profilu 2500 mm</v>
      </c>
      <c r="B50">
        <v>2</v>
      </c>
      <c r="C50" t="s">
        <v>662</v>
      </c>
      <c r="D50">
        <v>0</v>
      </c>
      <c r="AB50" t="s">
        <v>2515</v>
      </c>
      <c r="AC50">
        <v>0</v>
      </c>
      <c r="AD50">
        <v>0</v>
      </c>
      <c r="ED50" t="s">
        <v>1755</v>
      </c>
      <c r="EE50" t="s">
        <v>1911</v>
      </c>
      <c r="ER50" t="s">
        <v>2371</v>
      </c>
      <c r="ES50" t="s">
        <v>2365</v>
      </c>
    </row>
    <row r="51" spans="1:149">
      <c r="A51" t="str">
        <f>'Translate&amp;Prices&amp;Logo'!$B$31</f>
        <v>Vivaro złota - maksymalna zalecana zalecana długość profilu 2150 mm</v>
      </c>
      <c r="B51">
        <v>2</v>
      </c>
      <c r="C51" t="s">
        <v>662</v>
      </c>
      <c r="D51">
        <v>1</v>
      </c>
      <c r="AB51" t="s">
        <v>2517</v>
      </c>
      <c r="AC51">
        <v>0</v>
      </c>
      <c r="AD51">
        <v>0</v>
      </c>
      <c r="ED51" t="s">
        <v>1756</v>
      </c>
      <c r="EE51" t="s">
        <v>1912</v>
      </c>
      <c r="ER51" t="s">
        <v>2614</v>
      </c>
      <c r="ES51" t="s">
        <v>2606</v>
      </c>
    </row>
    <row r="52" spans="1:149">
      <c r="A52" t="str">
        <f>'Translate&amp;Prices&amp;Logo'!$B$57</f>
        <v>Vivaro złota szczotkowany - maksymalna zalecana zalecana długość profilu 2150 mm</v>
      </c>
      <c r="B52">
        <v>2</v>
      </c>
      <c r="C52" t="s">
        <v>662</v>
      </c>
      <c r="D52">
        <v>0</v>
      </c>
      <c r="AB52" t="s">
        <v>2512</v>
      </c>
      <c r="AC52">
        <v>0</v>
      </c>
      <c r="AD52">
        <v>0</v>
      </c>
      <c r="ED52" t="s">
        <v>1757</v>
      </c>
      <c r="EE52" t="s">
        <v>1913</v>
      </c>
      <c r="ER52" t="s">
        <v>2615</v>
      </c>
      <c r="ES52" t="s">
        <v>2607</v>
      </c>
    </row>
    <row r="53" spans="1:149">
      <c r="A53" t="str">
        <f>'Translate&amp;Prices&amp;Logo'!$B$80</f>
        <v>Rocca elox (lewa i prawa) + Varna elox (góra i dół)</v>
      </c>
      <c r="B53">
        <v>3</v>
      </c>
      <c r="C53" t="s">
        <v>662</v>
      </c>
      <c r="D53">
        <v>0</v>
      </c>
      <c r="AB53" t="s">
        <v>2513</v>
      </c>
      <c r="AC53">
        <v>0</v>
      </c>
      <c r="AD53">
        <v>0</v>
      </c>
      <c r="ED53" t="s">
        <v>1758</v>
      </c>
      <c r="EE53" t="s">
        <v>1914</v>
      </c>
      <c r="ER53" t="s">
        <v>2616</v>
      </c>
      <c r="ES53" t="s">
        <v>2608</v>
      </c>
    </row>
    <row r="54" spans="1:149">
      <c r="A54" t="str">
        <f>'Translate&amp;Prices&amp;Logo'!$B$81</f>
        <v>Rocca czarny (lewa i prawa) + Varna czarny (góra i dół)</v>
      </c>
      <c r="B54">
        <v>3</v>
      </c>
      <c r="C54" t="s">
        <v>662</v>
      </c>
      <c r="D54">
        <v>0</v>
      </c>
      <c r="ED54" t="s">
        <v>1759</v>
      </c>
      <c r="EE54" t="s">
        <v>1915</v>
      </c>
      <c r="ER54" t="s">
        <v>2617</v>
      </c>
      <c r="ES54" t="s">
        <v>2609</v>
      </c>
    </row>
    <row r="55" spans="1:149">
      <c r="A55" t="str">
        <f>'Translate&amp;Prices&amp;Logo'!$B$71</f>
        <v>ROMA czarna matowa -  maksymalna zalecana długość profilu 2696 mm</v>
      </c>
      <c r="B55">
        <v>1</v>
      </c>
      <c r="C55" t="s">
        <v>662</v>
      </c>
      <c r="D55">
        <v>0</v>
      </c>
      <c r="ED55" t="s">
        <v>1760</v>
      </c>
      <c r="EE55" t="s">
        <v>1916</v>
      </c>
      <c r="ER55" t="s">
        <v>2618</v>
      </c>
      <c r="ES55" t="s">
        <v>2610</v>
      </c>
    </row>
    <row r="56" spans="1:149">
      <c r="A56" t="str">
        <f>'Translate&amp;Prices&amp;Logo'!$B$72</f>
        <v>ROMA champagne mat - maksymalna zalecana długość profilu 2696 mm</v>
      </c>
      <c r="B56">
        <v>1</v>
      </c>
      <c r="C56" t="s">
        <v>662</v>
      </c>
      <c r="D56">
        <v>0</v>
      </c>
      <c r="ED56" t="s">
        <v>1761</v>
      </c>
      <c r="EE56" t="s">
        <v>1917</v>
      </c>
      <c r="ER56" t="s">
        <v>2619</v>
      </c>
      <c r="ES56" t="s">
        <v>2611</v>
      </c>
    </row>
    <row r="57" spans="1:149">
      <c r="A57" t="str">
        <f>'Translate&amp;Prices&amp;Logo'!$B$73</f>
        <v>ROMA GRIP czarna matowa - maksymalna zalecana długość profilu 2696 mm</v>
      </c>
      <c r="B57">
        <v>1</v>
      </c>
      <c r="C57" t="s">
        <v>662</v>
      </c>
      <c r="D57">
        <v>0</v>
      </c>
      <c r="ED57" t="s">
        <v>1762</v>
      </c>
      <c r="EE57" t="s">
        <v>1918</v>
      </c>
      <c r="ER57" t="s">
        <v>2348</v>
      </c>
      <c r="ES57" t="s">
        <v>2336</v>
      </c>
    </row>
    <row r="58" spans="1:149">
      <c r="A58" t="str">
        <f>'Translate&amp;Prices&amp;Logo'!$B$74</f>
        <v>ROMA GRIP champagne mat - maksymalna zalecana długość profilu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3391</v>
      </c>
      <c r="EF65">
        <f>LEN(EE65)</f>
        <v>71</v>
      </c>
      <c r="ER65" t="s">
        <v>2372</v>
      </c>
      <c r="ES65" t="s">
        <v>2360</v>
      </c>
    </row>
    <row r="66" spans="1:149">
      <c r="ED66" t="s">
        <v>1804</v>
      </c>
      <c r="EE66" t="s">
        <v>3394</v>
      </c>
      <c r="ER66" t="s">
        <v>2373</v>
      </c>
      <c r="ES66" t="s">
        <v>2361</v>
      </c>
    </row>
    <row r="67" spans="1:149">
      <c r="Q67" t="str">
        <f>'Translate&amp;Prices&amp;Logo'!$B$69</f>
        <v>BRW champagne - maksymalna zalecana długość profilu 2500 mm</v>
      </c>
      <c r="ED67" t="s">
        <v>1805</v>
      </c>
      <c r="EE67" t="s">
        <v>3396</v>
      </c>
      <c r="ER67" t="s">
        <v>2374</v>
      </c>
      <c r="ES67" t="s">
        <v>2362</v>
      </c>
    </row>
    <row r="68" spans="1:149">
      <c r="ED68" t="s">
        <v>1806</v>
      </c>
      <c r="EE68" t="s">
        <v>3397</v>
      </c>
      <c r="ER68" t="s">
        <v>2375</v>
      </c>
      <c r="ES68" t="s">
        <v>2363</v>
      </c>
    </row>
    <row r="69" spans="1:149">
      <c r="ED69" t="s">
        <v>1807</v>
      </c>
      <c r="EE69" t="s">
        <v>3399</v>
      </c>
      <c r="ER69" t="s">
        <v>2376</v>
      </c>
      <c r="ES69" t="s">
        <v>2364</v>
      </c>
    </row>
    <row r="70" spans="1:149">
      <c r="ED70" t="s">
        <v>1808</v>
      </c>
      <c r="EE70" t="s">
        <v>3401</v>
      </c>
      <c r="ER70" t="s">
        <v>2377</v>
      </c>
      <c r="ES70" t="s">
        <v>2365</v>
      </c>
    </row>
    <row r="71" spans="1:149">
      <c r="ED71" t="s">
        <v>1809</v>
      </c>
      <c r="EE71" t="s">
        <v>3403</v>
      </c>
      <c r="ER71" t="s">
        <v>2622</v>
      </c>
      <c r="ES71" t="s">
        <v>2606</v>
      </c>
    </row>
    <row r="72" spans="1:149">
      <c r="ED72" t="s">
        <v>1810</v>
      </c>
      <c r="EE72" t="s">
        <v>3404</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3406</v>
      </c>
      <c r="ER86" t="s">
        <v>2379</v>
      </c>
      <c r="ES86" t="s">
        <v>2361</v>
      </c>
    </row>
    <row r="87" spans="134:149">
      <c r="ED87" t="s">
        <v>1823</v>
      </c>
      <c r="EE87" t="s">
        <v>3407</v>
      </c>
      <c r="ER87" t="s">
        <v>2380</v>
      </c>
      <c r="ES87" t="s">
        <v>2362</v>
      </c>
    </row>
    <row r="88" spans="134:149">
      <c r="ED88" t="s">
        <v>1824</v>
      </c>
      <c r="EE88" t="s">
        <v>3408</v>
      </c>
      <c r="ER88" t="s">
        <v>2381</v>
      </c>
      <c r="ES88" t="s">
        <v>2363</v>
      </c>
    </row>
    <row r="89" spans="134:149">
      <c r="ED89" t="s">
        <v>1825</v>
      </c>
      <c r="EE89" t="s">
        <v>3409</v>
      </c>
      <c r="ER89" t="s">
        <v>2382</v>
      </c>
      <c r="ES89" t="s">
        <v>2364</v>
      </c>
    </row>
    <row r="90" spans="134:149">
      <c r="ED90" t="s">
        <v>1826</v>
      </c>
      <c r="EE90" t="s">
        <v>3411</v>
      </c>
      <c r="ER90" t="s">
        <v>2383</v>
      </c>
      <c r="ES90" t="s">
        <v>2365</v>
      </c>
    </row>
    <row r="91" spans="134:149">
      <c r="ED91" t="s">
        <v>1827</v>
      </c>
      <c r="EE91" t="s">
        <v>3412</v>
      </c>
      <c r="ER91" t="s">
        <v>2630</v>
      </c>
      <c r="ES91" t="s">
        <v>2606</v>
      </c>
    </row>
    <row r="92" spans="134:149">
      <c r="ED92" t="s">
        <v>1828</v>
      </c>
      <c r="EE92" t="s">
        <v>3413</v>
      </c>
      <c r="ER92" t="s">
        <v>2631</v>
      </c>
      <c r="ES92" t="s">
        <v>2607</v>
      </c>
    </row>
    <row r="93" spans="134:149">
      <c r="ED93" t="s">
        <v>1829</v>
      </c>
      <c r="EE93" t="s">
        <v>3414</v>
      </c>
      <c r="ER93" t="s">
        <v>2632</v>
      </c>
      <c r="ES93" t="s">
        <v>2608</v>
      </c>
    </row>
    <row r="94" spans="134:149">
      <c r="ED94" t="s">
        <v>1830</v>
      </c>
      <c r="EE94" t="s">
        <v>3415</v>
      </c>
      <c r="ER94" t="s">
        <v>2633</v>
      </c>
      <c r="ES94" t="s">
        <v>2609</v>
      </c>
    </row>
    <row r="95" spans="134:149">
      <c r="ED95" t="s">
        <v>1831</v>
      </c>
      <c r="EE95" t="s">
        <v>3416</v>
      </c>
      <c r="ER95" t="s">
        <v>2634</v>
      </c>
      <c r="ES95" t="s">
        <v>2610</v>
      </c>
    </row>
    <row r="96" spans="134:149">
      <c r="ED96" t="s">
        <v>1832</v>
      </c>
      <c r="EE96" t="s">
        <v>3417</v>
      </c>
      <c r="ER96" t="s">
        <v>2635</v>
      </c>
      <c r="ES96" t="s">
        <v>2611</v>
      </c>
    </row>
    <row r="97" spans="134:149">
      <c r="ED97" t="s">
        <v>1833</v>
      </c>
      <c r="EE97" t="s">
        <v>3418</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3391</v>
      </c>
    </row>
    <row r="129" spans="134:135">
      <c r="ED129" t="s">
        <v>1865</v>
      </c>
      <c r="EE129" t="s">
        <v>3394</v>
      </c>
    </row>
    <row r="130" spans="134:135">
      <c r="ED130" t="s">
        <v>1866</v>
      </c>
      <c r="EE130" t="s">
        <v>3396</v>
      </c>
    </row>
    <row r="131" spans="134:135">
      <c r="ED131" t="s">
        <v>1867</v>
      </c>
      <c r="EE131" t="s">
        <v>3397</v>
      </c>
    </row>
    <row r="132" spans="134:135">
      <c r="ED132" t="s">
        <v>1868</v>
      </c>
      <c r="EE132" t="s">
        <v>3399</v>
      </c>
    </row>
    <row r="133" spans="134:135">
      <c r="ED133" t="s">
        <v>1869</v>
      </c>
      <c r="EE133" t="s">
        <v>3401</v>
      </c>
    </row>
    <row r="134" spans="134:135">
      <c r="ED134" t="s">
        <v>1870</v>
      </c>
      <c r="EE134" t="s">
        <v>3403</v>
      </c>
    </row>
    <row r="135" spans="134:135">
      <c r="ED135" t="s">
        <v>1871</v>
      </c>
      <c r="EE135" t="s">
        <v>3404</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3406</v>
      </c>
    </row>
    <row r="150" spans="134:135">
      <c r="ED150" t="s">
        <v>1885</v>
      </c>
      <c r="EE150" t="s">
        <v>3407</v>
      </c>
    </row>
    <row r="151" spans="134:135">
      <c r="ED151" t="s">
        <v>1886</v>
      </c>
      <c r="EE151" t="s">
        <v>3408</v>
      </c>
    </row>
    <row r="152" spans="134:135">
      <c r="ED152" t="s">
        <v>1887</v>
      </c>
      <c r="EE152" t="s">
        <v>3409</v>
      </c>
    </row>
    <row r="153" spans="134:135">
      <c r="ED153" t="s">
        <v>1888</v>
      </c>
      <c r="EE153" t="s">
        <v>3411</v>
      </c>
    </row>
    <row r="154" spans="134:135">
      <c r="ED154" t="s">
        <v>1889</v>
      </c>
      <c r="EE154" t="s">
        <v>3412</v>
      </c>
    </row>
    <row r="155" spans="134:135">
      <c r="ED155" t="s">
        <v>1890</v>
      </c>
      <c r="EE155" t="s">
        <v>3413</v>
      </c>
    </row>
    <row r="156" spans="134:135">
      <c r="ED156" t="s">
        <v>1891</v>
      </c>
      <c r="EE156" t="s">
        <v>3414</v>
      </c>
    </row>
    <row r="157" spans="134:135">
      <c r="ED157" t="s">
        <v>1892</v>
      </c>
      <c r="EE157" t="s">
        <v>3415</v>
      </c>
    </row>
    <row r="158" spans="134:135">
      <c r="ED158" t="s">
        <v>1893</v>
      </c>
      <c r="EE158" t="s">
        <v>3416</v>
      </c>
    </row>
    <row r="159" spans="134:135">
      <c r="ED159" t="s">
        <v>1894</v>
      </c>
      <c r="EE159" t="s">
        <v>3417</v>
      </c>
    </row>
    <row r="160" spans="134:135">
      <c r="ED160" t="s">
        <v>1895</v>
      </c>
      <c r="EE160" t="s">
        <v>3418</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3392</v>
      </c>
    </row>
    <row r="192" spans="134:135">
      <c r="ED192" t="s">
        <v>1927</v>
      </c>
      <c r="EE192" t="s">
        <v>3394</v>
      </c>
    </row>
    <row r="193" spans="134:135">
      <c r="ED193" t="s">
        <v>1928</v>
      </c>
      <c r="EE193" t="s">
        <v>3396</v>
      </c>
    </row>
    <row r="194" spans="134:135">
      <c r="ED194" t="s">
        <v>1929</v>
      </c>
      <c r="EE194" t="s">
        <v>3397</v>
      </c>
    </row>
    <row r="195" spans="134:135">
      <c r="ED195" t="s">
        <v>1930</v>
      </c>
      <c r="EE195" t="s">
        <v>3399</v>
      </c>
    </row>
    <row r="196" spans="134:135">
      <c r="ED196" t="s">
        <v>1931</v>
      </c>
      <c r="EE196" t="s">
        <v>3401</v>
      </c>
    </row>
    <row r="197" spans="134:135">
      <c r="ED197" t="s">
        <v>1932</v>
      </c>
      <c r="EE197" t="s">
        <v>3403</v>
      </c>
    </row>
    <row r="198" spans="134:135">
      <c r="ED198" t="s">
        <v>1933</v>
      </c>
      <c r="EE198" t="s">
        <v>3404</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3406</v>
      </c>
    </row>
    <row r="213" spans="124:135">
      <c r="ED213" t="s">
        <v>1948</v>
      </c>
      <c r="EE213" t="s">
        <v>3407</v>
      </c>
    </row>
    <row r="214" spans="124:135">
      <c r="ED214" t="s">
        <v>1949</v>
      </c>
      <c r="EE214" t="s">
        <v>3408</v>
      </c>
    </row>
    <row r="215" spans="124:135">
      <c r="ED215" t="s">
        <v>1950</v>
      </c>
      <c r="EE215" t="s">
        <v>3409</v>
      </c>
    </row>
    <row r="216" spans="124:135">
      <c r="ED216" t="s">
        <v>1951</v>
      </c>
      <c r="EE216" t="s">
        <v>3411</v>
      </c>
    </row>
    <row r="217" spans="124:135">
      <c r="ED217" t="s">
        <v>1952</v>
      </c>
      <c r="EE217" t="s">
        <v>3412</v>
      </c>
    </row>
    <row r="218" spans="124:135">
      <c r="ED218" t="s">
        <v>1953</v>
      </c>
      <c r="EE218" t="s">
        <v>3413</v>
      </c>
    </row>
    <row r="219" spans="124:135">
      <c r="ED219" t="s">
        <v>1954</v>
      </c>
      <c r="EE219" t="s">
        <v>3414</v>
      </c>
    </row>
    <row r="220" spans="124:135">
      <c r="ED220" t="s">
        <v>1955</v>
      </c>
      <c r="EE220" t="s">
        <v>3415</v>
      </c>
    </row>
    <row r="221" spans="124:135">
      <c r="ED221" t="s">
        <v>1956</v>
      </c>
      <c r="EE221" t="s">
        <v>3416</v>
      </c>
    </row>
    <row r="222" spans="124:135">
      <c r="DT222" s="243"/>
      <c r="ED222" t="s">
        <v>1957</v>
      </c>
      <c r="EE222" t="s">
        <v>3417</v>
      </c>
    </row>
    <row r="223" spans="124:135">
      <c r="DT223" s="243"/>
      <c r="ED223" t="s">
        <v>1958</v>
      </c>
      <c r="EE223" t="s">
        <v>3418</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3391</v>
      </c>
    </row>
    <row r="255" spans="124:135">
      <c r="DT255" s="292"/>
      <c r="ED255" t="s">
        <v>1990</v>
      </c>
      <c r="EE255" t="s">
        <v>3394</v>
      </c>
    </row>
    <row r="256" spans="124:135">
      <c r="DT256" s="292"/>
      <c r="ED256" t="s">
        <v>1991</v>
      </c>
      <c r="EE256" t="s">
        <v>3396</v>
      </c>
    </row>
    <row r="257" spans="118:135">
      <c r="ED257" t="s">
        <v>1992</v>
      </c>
      <c r="EE257" t="s">
        <v>3397</v>
      </c>
    </row>
    <row r="258" spans="118:135">
      <c r="ED258" t="s">
        <v>1993</v>
      </c>
      <c r="EE258" t="s">
        <v>3399</v>
      </c>
    </row>
    <row r="259" spans="118:135">
      <c r="DN259" s="256"/>
      <c r="ED259" t="s">
        <v>1994</v>
      </c>
      <c r="EE259" t="s">
        <v>3401</v>
      </c>
    </row>
    <row r="260" spans="118:135">
      <c r="ED260" t="s">
        <v>1995</v>
      </c>
      <c r="EE260" t="s">
        <v>3403</v>
      </c>
    </row>
    <row r="261" spans="118:135">
      <c r="ED261" t="s">
        <v>1996</v>
      </c>
      <c r="EE261" t="s">
        <v>3404</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3406</v>
      </c>
    </row>
    <row r="276" spans="127:135">
      <c r="ED276" t="s">
        <v>2011</v>
      </c>
      <c r="EE276" t="s">
        <v>3407</v>
      </c>
    </row>
    <row r="277" spans="127:135">
      <c r="ED277" t="s">
        <v>2012</v>
      </c>
      <c r="EE277" t="s">
        <v>3408</v>
      </c>
    </row>
    <row r="278" spans="127:135">
      <c r="ED278" t="s">
        <v>2013</v>
      </c>
      <c r="EE278" t="s">
        <v>3409</v>
      </c>
    </row>
    <row r="279" spans="127:135">
      <c r="ED279" t="s">
        <v>2014</v>
      </c>
      <c r="EE279" t="s">
        <v>3411</v>
      </c>
    </row>
    <row r="280" spans="127:135">
      <c r="ED280" t="s">
        <v>2015</v>
      </c>
      <c r="EE280" t="s">
        <v>3412</v>
      </c>
    </row>
    <row r="281" spans="127:135">
      <c r="ED281" t="s">
        <v>2016</v>
      </c>
      <c r="EE281" t="s">
        <v>3413</v>
      </c>
    </row>
    <row r="282" spans="127:135">
      <c r="ED282" t="s">
        <v>2017</v>
      </c>
      <c r="EE282" t="s">
        <v>3414</v>
      </c>
    </row>
    <row r="283" spans="127:135">
      <c r="ED283" t="s">
        <v>2018</v>
      </c>
      <c r="EE283" t="s">
        <v>3415</v>
      </c>
    </row>
    <row r="284" spans="127:135">
      <c r="ED284" t="s">
        <v>2019</v>
      </c>
      <c r="EE284" t="s">
        <v>3416</v>
      </c>
    </row>
    <row r="285" spans="127:135">
      <c r="ED285" t="s">
        <v>2020</v>
      </c>
      <c r="EE285" t="s">
        <v>3417</v>
      </c>
    </row>
    <row r="286" spans="127:135">
      <c r="ED286" t="s">
        <v>2021</v>
      </c>
      <c r="EE286" t="s">
        <v>3418</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3393</v>
      </c>
    </row>
    <row r="334" spans="134:135">
      <c r="ED334" t="s">
        <v>2795</v>
      </c>
      <c r="EE334" t="s">
        <v>3395</v>
      </c>
    </row>
    <row r="335" spans="134:135">
      <c r="ED335" t="s">
        <v>2797</v>
      </c>
      <c r="EE335" t="s">
        <v>3396</v>
      </c>
    </row>
    <row r="336" spans="134:135">
      <c r="ED336" t="s">
        <v>2799</v>
      </c>
      <c r="EE336" t="s">
        <v>3397</v>
      </c>
    </row>
    <row r="337" spans="134:135">
      <c r="ED337" t="s">
        <v>2801</v>
      </c>
      <c r="EE337" t="s">
        <v>3398</v>
      </c>
    </row>
    <row r="338" spans="134:135">
      <c r="ED338" t="s">
        <v>2803</v>
      </c>
      <c r="EE338" t="s">
        <v>3400</v>
      </c>
    </row>
    <row r="339" spans="134:135">
      <c r="ED339" t="s">
        <v>2805</v>
      </c>
      <c r="EE339" t="s">
        <v>3402</v>
      </c>
    </row>
    <row r="340" spans="134:135">
      <c r="ED340" t="s">
        <v>2807</v>
      </c>
      <c r="EE340" t="s">
        <v>3403</v>
      </c>
    </row>
    <row r="341" spans="134:135">
      <c r="ED341" t="s">
        <v>2809</v>
      </c>
      <c r="EE341" t="s">
        <v>3405</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3406</v>
      </c>
    </row>
    <row r="356" spans="127:135">
      <c r="DW356" s="243"/>
      <c r="ED356" t="s">
        <v>2838</v>
      </c>
      <c r="EE356" t="s">
        <v>3407</v>
      </c>
    </row>
    <row r="357" spans="127:135">
      <c r="DW357" s="243"/>
      <c r="ED357" t="s">
        <v>2840</v>
      </c>
      <c r="EE357" t="s">
        <v>3408</v>
      </c>
    </row>
    <row r="358" spans="127:135">
      <c r="DW358" s="243"/>
      <c r="ED358" t="s">
        <v>2842</v>
      </c>
      <c r="EE358" t="s">
        <v>3409</v>
      </c>
    </row>
    <row r="359" spans="127:135">
      <c r="DW359" s="75"/>
      <c r="ED359" t="s">
        <v>2844</v>
      </c>
      <c r="EE359" t="s">
        <v>3410</v>
      </c>
    </row>
    <row r="360" spans="127:135">
      <c r="DW360" s="243"/>
      <c r="ED360" t="s">
        <v>2846</v>
      </c>
      <c r="EE360" t="s">
        <v>3411</v>
      </c>
    </row>
    <row r="361" spans="127:135">
      <c r="DW361" s="243"/>
      <c r="ED361" t="s">
        <v>2848</v>
      </c>
      <c r="EE361" t="s">
        <v>3412</v>
      </c>
    </row>
    <row r="362" spans="127:135">
      <c r="DW362" s="243"/>
      <c r="ED362" t="s">
        <v>2850</v>
      </c>
      <c r="EE362" t="s">
        <v>3413</v>
      </c>
    </row>
    <row r="363" spans="127:135">
      <c r="DW363" s="243"/>
      <c r="ED363" t="s">
        <v>2852</v>
      </c>
      <c r="EE363" t="s">
        <v>3414</v>
      </c>
    </row>
    <row r="364" spans="127:135">
      <c r="ED364" t="s">
        <v>2854</v>
      </c>
      <c r="EE364" t="s">
        <v>3415</v>
      </c>
    </row>
    <row r="365" spans="127:135">
      <c r="ED365" t="s">
        <v>2856</v>
      </c>
      <c r="EE365" t="s">
        <v>3416</v>
      </c>
    </row>
    <row r="366" spans="127:135">
      <c r="ED366" t="s">
        <v>2858</v>
      </c>
      <c r="EE366" t="s">
        <v>3417</v>
      </c>
    </row>
    <row r="367" spans="127:135">
      <c r="ED367" t="s">
        <v>2860</v>
      </c>
      <c r="EE367" t="s">
        <v>3418</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3393</v>
      </c>
    </row>
    <row r="399" spans="134:135">
      <c r="ED399" t="s">
        <v>2923</v>
      </c>
      <c r="EE399" t="s">
        <v>3395</v>
      </c>
    </row>
    <row r="400" spans="134:135">
      <c r="ED400" t="s">
        <v>2924</v>
      </c>
      <c r="EE400" t="s">
        <v>3396</v>
      </c>
    </row>
    <row r="401" spans="128:135">
      <c r="ED401" t="s">
        <v>2925</v>
      </c>
      <c r="EE401" t="s">
        <v>3397</v>
      </c>
    </row>
    <row r="402" spans="128:135">
      <c r="ED402" t="s">
        <v>2926</v>
      </c>
      <c r="EE402" t="s">
        <v>3398</v>
      </c>
    </row>
    <row r="403" spans="128:135">
      <c r="ED403" t="s">
        <v>2927</v>
      </c>
      <c r="EE403" t="s">
        <v>3400</v>
      </c>
    </row>
    <row r="404" spans="128:135">
      <c r="ED404" t="s">
        <v>2928</v>
      </c>
      <c r="EE404" t="s">
        <v>3402</v>
      </c>
    </row>
    <row r="405" spans="128:135">
      <c r="ED405" t="s">
        <v>2929</v>
      </c>
      <c r="EE405" t="s">
        <v>3403</v>
      </c>
    </row>
    <row r="406" spans="128:135">
      <c r="ED406" t="s">
        <v>2930</v>
      </c>
      <c r="EE406" t="s">
        <v>3405</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7:135">
      <c r="DX417" s="191"/>
      <c r="ED417" t="s">
        <v>2941</v>
      </c>
      <c r="EE417" t="s">
        <v>2831</v>
      </c>
    </row>
    <row r="418" spans="127:135">
      <c r="DX418" s="191"/>
      <c r="ED418" t="s">
        <v>2792</v>
      </c>
      <c r="EE418" t="s">
        <v>2833</v>
      </c>
    </row>
    <row r="419" spans="127:135">
      <c r="DW419" s="242"/>
      <c r="ED419" t="s">
        <v>2942</v>
      </c>
      <c r="EE419" t="s">
        <v>2835</v>
      </c>
    </row>
    <row r="420" spans="127:135">
      <c r="DW420" s="242"/>
      <c r="ED420" t="s">
        <v>2943</v>
      </c>
      <c r="EE420" t="s">
        <v>3406</v>
      </c>
    </row>
    <row r="421" spans="127:135">
      <c r="DW421" s="256"/>
      <c r="ED421" t="s">
        <v>2944</v>
      </c>
      <c r="EE421" t="s">
        <v>3407</v>
      </c>
    </row>
    <row r="422" spans="127:135">
      <c r="DW422" s="256"/>
      <c r="ED422" t="s">
        <v>2945</v>
      </c>
      <c r="EE422" t="s">
        <v>3408</v>
      </c>
    </row>
    <row r="423" spans="127:135">
      <c r="DW423" s="239"/>
      <c r="ED423" t="s">
        <v>2946</v>
      </c>
      <c r="EE423" t="s">
        <v>3409</v>
      </c>
    </row>
    <row r="424" spans="127:135">
      <c r="DW424" s="191"/>
      <c r="ED424" t="s">
        <v>2947</v>
      </c>
      <c r="EE424" t="s">
        <v>3410</v>
      </c>
    </row>
    <row r="425" spans="127:135">
      <c r="DW425" s="191"/>
      <c r="ED425" t="s">
        <v>2948</v>
      </c>
      <c r="EE425" t="s">
        <v>3411</v>
      </c>
    </row>
    <row r="426" spans="127:135">
      <c r="DW426" s="191"/>
      <c r="ED426" t="s">
        <v>2949</v>
      </c>
      <c r="EE426" t="s">
        <v>3412</v>
      </c>
    </row>
    <row r="427" spans="127:135">
      <c r="DW427" s="239"/>
      <c r="ED427" t="s">
        <v>2950</v>
      </c>
      <c r="EE427" t="s">
        <v>3413</v>
      </c>
    </row>
    <row r="428" spans="127:135">
      <c r="DW428" s="191"/>
      <c r="ED428" t="s">
        <v>2951</v>
      </c>
      <c r="EE428" t="s">
        <v>3414</v>
      </c>
    </row>
    <row r="429" spans="127:135">
      <c r="DW429" s="256"/>
      <c r="ED429" t="s">
        <v>2952</v>
      </c>
      <c r="EE429" t="s">
        <v>3415</v>
      </c>
    </row>
    <row r="430" spans="127:135">
      <c r="DW430" s="256"/>
      <c r="ED430" t="s">
        <v>2953</v>
      </c>
      <c r="EE430" t="s">
        <v>3416</v>
      </c>
    </row>
    <row r="431" spans="127:135">
      <c r="DW431" s="239"/>
      <c r="ED431" t="s">
        <v>2954</v>
      </c>
      <c r="EE431" t="s">
        <v>3417</v>
      </c>
    </row>
    <row r="432" spans="127:135">
      <c r="DW432" s="256"/>
      <c r="ED432" t="s">
        <v>2955</v>
      </c>
      <c r="EE432" t="s">
        <v>3418</v>
      </c>
    </row>
    <row r="433" spans="127:135">
      <c r="DW433" s="191"/>
      <c r="ED433" t="s">
        <v>2956</v>
      </c>
      <c r="EE433" t="s">
        <v>2863</v>
      </c>
    </row>
    <row r="434" spans="127:135">
      <c r="DW434" s="239"/>
      <c r="DX434" s="191"/>
      <c r="ED434" t="s">
        <v>2957</v>
      </c>
      <c r="EE434" t="s">
        <v>2865</v>
      </c>
    </row>
    <row r="435" spans="127:135">
      <c r="DW435" s="239"/>
      <c r="DX435" s="191"/>
      <c r="ED435" t="s">
        <v>2958</v>
      </c>
      <c r="EE435" t="s">
        <v>2867</v>
      </c>
    </row>
    <row r="436" spans="127:135">
      <c r="DW436" s="239"/>
      <c r="DX436" s="191"/>
      <c r="ED436" t="s">
        <v>2959</v>
      </c>
      <c r="EE436" t="s">
        <v>2869</v>
      </c>
    </row>
    <row r="437" spans="127:135">
      <c r="DW437" s="191"/>
      <c r="DX437" s="191"/>
      <c r="ED437" t="s">
        <v>2960</v>
      </c>
      <c r="EE437" t="s">
        <v>2871</v>
      </c>
    </row>
    <row r="438" spans="127:135">
      <c r="DW438" s="267"/>
      <c r="DX438" s="267"/>
      <c r="ED438" t="s">
        <v>2961</v>
      </c>
      <c r="EE438" t="s">
        <v>2873</v>
      </c>
    </row>
    <row r="439" spans="127:135">
      <c r="DW439" s="235"/>
      <c r="DX439" s="267"/>
      <c r="ED439" t="s">
        <v>2962</v>
      </c>
      <c r="EE439" t="s">
        <v>2875</v>
      </c>
    </row>
    <row r="440" spans="127:135">
      <c r="DW440" s="243"/>
      <c r="DX440" s="243"/>
      <c r="ED440" t="s">
        <v>2963</v>
      </c>
      <c r="EE440" t="s">
        <v>2877</v>
      </c>
    </row>
    <row r="441" spans="127:135">
      <c r="DW441" s="243"/>
      <c r="DX441" s="243"/>
      <c r="ED441" t="s">
        <v>2964</v>
      </c>
      <c r="EE441" t="s">
        <v>2879</v>
      </c>
    </row>
    <row r="442" spans="127:135">
      <c r="DW442" s="243"/>
      <c r="DX442" s="243"/>
      <c r="ED442" t="s">
        <v>2965</v>
      </c>
      <c r="EE442" t="s">
        <v>2881</v>
      </c>
    </row>
    <row r="443" spans="127:135">
      <c r="DW443" s="243"/>
      <c r="DX443" s="243"/>
      <c r="ED443" t="s">
        <v>2966</v>
      </c>
      <c r="EE443" t="s">
        <v>2883</v>
      </c>
    </row>
    <row r="444" spans="127:135">
      <c r="DW444" s="243"/>
      <c r="DX444" s="243"/>
      <c r="ED444" t="s">
        <v>2967</v>
      </c>
      <c r="EE444" t="s">
        <v>2885</v>
      </c>
    </row>
    <row r="445" spans="127:135">
      <c r="DW445" s="243"/>
      <c r="DX445" s="243"/>
      <c r="ED445" t="s">
        <v>2968</v>
      </c>
      <c r="EE445" t="s">
        <v>2887</v>
      </c>
    </row>
    <row r="446" spans="127:135">
      <c r="DW446" s="243"/>
      <c r="DX446" s="243"/>
      <c r="ED446" t="s">
        <v>2969</v>
      </c>
      <c r="EE446" t="s">
        <v>2889</v>
      </c>
    </row>
    <row r="447" spans="127:135">
      <c r="DW447" s="243"/>
      <c r="DX447" s="243"/>
      <c r="ED447" t="s">
        <v>2970</v>
      </c>
      <c r="EE447" t="s">
        <v>2891</v>
      </c>
    </row>
    <row r="448" spans="127:135">
      <c r="DW448" s="243"/>
      <c r="DX448" s="243"/>
      <c r="ED448" t="s">
        <v>2971</v>
      </c>
      <c r="EE448" t="s">
        <v>2893</v>
      </c>
    </row>
    <row r="449" spans="127:135">
      <c r="DW449" s="243"/>
      <c r="DX449" s="243"/>
      <c r="ED449" t="s">
        <v>2972</v>
      </c>
      <c r="EE449" t="s">
        <v>2895</v>
      </c>
    </row>
    <row r="450" spans="127:135">
      <c r="DW450" s="243"/>
      <c r="DX450" s="243"/>
      <c r="ED450" t="s">
        <v>2973</v>
      </c>
      <c r="EE450" t="s">
        <v>2897</v>
      </c>
    </row>
    <row r="451" spans="127:135">
      <c r="DW451" s="243"/>
      <c r="DX451" s="243"/>
      <c r="ED451" t="s">
        <v>2974</v>
      </c>
      <c r="EE451" t="s">
        <v>2899</v>
      </c>
    </row>
    <row r="452" spans="127:135">
      <c r="DW452" s="243"/>
      <c r="DX452" s="243"/>
      <c r="ED452" t="s">
        <v>2975</v>
      </c>
      <c r="EE452" t="s">
        <v>2901</v>
      </c>
    </row>
    <row r="453" spans="127:135">
      <c r="DW453" s="243"/>
      <c r="DX453" s="243"/>
      <c r="ED453" t="s">
        <v>2976</v>
      </c>
      <c r="EE453" t="s">
        <v>2903</v>
      </c>
    </row>
    <row r="454" spans="127:135">
      <c r="DW454" s="243"/>
      <c r="DX454" s="243"/>
      <c r="ED454" t="s">
        <v>2977</v>
      </c>
      <c r="EE454" t="s">
        <v>2905</v>
      </c>
    </row>
    <row r="455" spans="127:135">
      <c r="DW455" s="243"/>
      <c r="DX455" s="243"/>
      <c r="ED455" t="s">
        <v>2978</v>
      </c>
      <c r="EE455" t="s">
        <v>2907</v>
      </c>
    </row>
    <row r="456" spans="127:135">
      <c r="ED456" t="s">
        <v>2979</v>
      </c>
      <c r="EE456" t="s">
        <v>2909</v>
      </c>
    </row>
    <row r="457" spans="127:135">
      <c r="ED457" t="s">
        <v>2980</v>
      </c>
      <c r="EE457" t="s">
        <v>2911</v>
      </c>
    </row>
    <row r="458" spans="127:135">
      <c r="ED458" t="s">
        <v>2981</v>
      </c>
      <c r="EE458" t="s">
        <v>2913</v>
      </c>
    </row>
    <row r="459" spans="127:135">
      <c r="ED459" t="s">
        <v>2982</v>
      </c>
      <c r="EE459" t="s">
        <v>2915</v>
      </c>
    </row>
    <row r="460" spans="127:135">
      <c r="ED460" t="s">
        <v>2983</v>
      </c>
      <c r="EE460" t="s">
        <v>2917</v>
      </c>
    </row>
    <row r="461" spans="127:135">
      <c r="ED461" t="s">
        <v>2984</v>
      </c>
      <c r="EE461" t="s">
        <v>2919</v>
      </c>
    </row>
    <row r="462" spans="127:135">
      <c r="ED462" t="s">
        <v>2985</v>
      </c>
      <c r="EE462" t="s">
        <v>2921</v>
      </c>
    </row>
    <row r="463" spans="127:135">
      <c r="ED463" t="s">
        <v>2794</v>
      </c>
      <c r="EE463" t="s">
        <v>3393</v>
      </c>
    </row>
    <row r="464" spans="127:135">
      <c r="ED464" t="s">
        <v>2796</v>
      </c>
      <c r="EE464" t="s">
        <v>3395</v>
      </c>
    </row>
    <row r="465" spans="134:135">
      <c r="ED465" t="s">
        <v>2798</v>
      </c>
      <c r="EE465" t="s">
        <v>3396</v>
      </c>
    </row>
    <row r="466" spans="134:135">
      <c r="ED466" t="s">
        <v>2800</v>
      </c>
      <c r="EE466" t="s">
        <v>3397</v>
      </c>
    </row>
    <row r="467" spans="134:135">
      <c r="ED467" t="s">
        <v>2802</v>
      </c>
      <c r="EE467" t="s">
        <v>3398</v>
      </c>
    </row>
    <row r="468" spans="134:135">
      <c r="ED468" t="s">
        <v>2804</v>
      </c>
      <c r="EE468" t="s">
        <v>3400</v>
      </c>
    </row>
    <row r="469" spans="134:135">
      <c r="ED469" t="s">
        <v>2806</v>
      </c>
      <c r="EE469" t="s">
        <v>3402</v>
      </c>
    </row>
    <row r="470" spans="134:135">
      <c r="ED470" t="s">
        <v>2808</v>
      </c>
      <c r="EE470" t="s">
        <v>3403</v>
      </c>
    </row>
    <row r="471" spans="134:135">
      <c r="ED471" t="s">
        <v>2810</v>
      </c>
      <c r="EE471" t="s">
        <v>3405</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3406</v>
      </c>
    </row>
    <row r="486" spans="134:135">
      <c r="ED486" t="s">
        <v>2839</v>
      </c>
      <c r="EE486" t="s">
        <v>3407</v>
      </c>
    </row>
    <row r="487" spans="134:135">
      <c r="ED487" t="s">
        <v>2841</v>
      </c>
      <c r="EE487" t="s">
        <v>3408</v>
      </c>
    </row>
    <row r="488" spans="134:135">
      <c r="ED488" t="s">
        <v>2843</v>
      </c>
      <c r="EE488" t="s">
        <v>3409</v>
      </c>
    </row>
    <row r="489" spans="134:135">
      <c r="ED489" t="s">
        <v>2845</v>
      </c>
      <c r="EE489" t="s">
        <v>3410</v>
      </c>
    </row>
    <row r="490" spans="134:135">
      <c r="ED490" t="s">
        <v>2847</v>
      </c>
      <c r="EE490" t="s">
        <v>3411</v>
      </c>
    </row>
    <row r="491" spans="134:135">
      <c r="ED491" t="s">
        <v>2849</v>
      </c>
      <c r="EE491" t="s">
        <v>3412</v>
      </c>
    </row>
    <row r="492" spans="134:135">
      <c r="ED492" t="s">
        <v>2851</v>
      </c>
      <c r="EE492" t="s">
        <v>3413</v>
      </c>
    </row>
    <row r="493" spans="134:135">
      <c r="ED493" t="s">
        <v>2853</v>
      </c>
      <c r="EE493" t="s">
        <v>3414</v>
      </c>
    </row>
    <row r="494" spans="134:135">
      <c r="ED494" t="s">
        <v>2855</v>
      </c>
      <c r="EE494" t="s">
        <v>3415</v>
      </c>
    </row>
    <row r="495" spans="134:135">
      <c r="ED495" t="s">
        <v>2857</v>
      </c>
      <c r="EE495" t="s">
        <v>3416</v>
      </c>
    </row>
    <row r="496" spans="134:135">
      <c r="ED496" t="s">
        <v>2859</v>
      </c>
      <c r="EE496" t="s">
        <v>3417</v>
      </c>
    </row>
    <row r="497" spans="124:135">
      <c r="DT497" s="256"/>
      <c r="ED497" t="s">
        <v>2861</v>
      </c>
      <c r="EE497" t="s">
        <v>3418</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3393</v>
      </c>
    </row>
    <row r="529" spans="124:135">
      <c r="DT529" s="257"/>
      <c r="DU529" s="257"/>
      <c r="ED529" t="s">
        <v>2987</v>
      </c>
      <c r="EE529" t="s">
        <v>3395</v>
      </c>
    </row>
    <row r="530" spans="124:135">
      <c r="DT530" s="257"/>
      <c r="DU530" s="257"/>
      <c r="ED530" t="s">
        <v>2988</v>
      </c>
      <c r="EE530" t="s">
        <v>3396</v>
      </c>
    </row>
    <row r="531" spans="124:135">
      <c r="DT531" s="258"/>
      <c r="DU531" s="258"/>
      <c r="ED531" t="s">
        <v>2989</v>
      </c>
      <c r="EE531" t="s">
        <v>3397</v>
      </c>
    </row>
    <row r="532" spans="124:135">
      <c r="DT532" s="256"/>
      <c r="DU532" s="256"/>
      <c r="ED532" t="s">
        <v>2990</v>
      </c>
      <c r="EE532" t="s">
        <v>3398</v>
      </c>
    </row>
    <row r="533" spans="124:135">
      <c r="DT533" s="256"/>
      <c r="DU533" s="256"/>
      <c r="ED533" t="s">
        <v>2991</v>
      </c>
      <c r="EE533" t="s">
        <v>3400</v>
      </c>
    </row>
    <row r="534" spans="124:135">
      <c r="DT534" s="256"/>
      <c r="ED534" t="s">
        <v>2992</v>
      </c>
      <c r="EE534" t="s">
        <v>3402</v>
      </c>
    </row>
    <row r="535" spans="124:135">
      <c r="DT535" s="256"/>
      <c r="ED535" t="s">
        <v>2993</v>
      </c>
      <c r="EE535" t="s">
        <v>3403</v>
      </c>
    </row>
    <row r="536" spans="124:135">
      <c r="DT536" s="191"/>
      <c r="ED536" t="s">
        <v>2994</v>
      </c>
      <c r="EE536" t="s">
        <v>3405</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3406</v>
      </c>
    </row>
    <row r="551" spans="124:135">
      <c r="DT551" s="256"/>
      <c r="DU551" s="256"/>
      <c r="ED551" t="s">
        <v>3009</v>
      </c>
      <c r="EE551" t="s">
        <v>3407</v>
      </c>
    </row>
    <row r="552" spans="124:135">
      <c r="DT552" s="257"/>
      <c r="DU552" s="256"/>
      <c r="ED552" t="s">
        <v>3010</v>
      </c>
      <c r="EE552" t="s">
        <v>3408</v>
      </c>
    </row>
    <row r="553" spans="124:135">
      <c r="DT553" s="257"/>
      <c r="DU553" s="256"/>
      <c r="ED553" t="s">
        <v>3011</v>
      </c>
      <c r="EE553" t="s">
        <v>3409</v>
      </c>
    </row>
    <row r="554" spans="124:135">
      <c r="DT554" s="191"/>
      <c r="DU554" s="256"/>
      <c r="ED554" t="s">
        <v>3012</v>
      </c>
      <c r="EE554" t="s">
        <v>3410</v>
      </c>
    </row>
    <row r="555" spans="124:135">
      <c r="DT555" s="191"/>
      <c r="DU555" s="256"/>
      <c r="ED555" t="s">
        <v>3013</v>
      </c>
      <c r="EE555" t="s">
        <v>3411</v>
      </c>
    </row>
    <row r="556" spans="124:135">
      <c r="DT556" s="258"/>
      <c r="ED556" t="s">
        <v>3014</v>
      </c>
      <c r="EE556" t="s">
        <v>3412</v>
      </c>
    </row>
    <row r="557" spans="124:135">
      <c r="DT557" s="258"/>
      <c r="ED557" t="s">
        <v>3015</v>
      </c>
      <c r="EE557" t="s">
        <v>3413</v>
      </c>
    </row>
    <row r="558" spans="124:135">
      <c r="DT558" s="258"/>
      <c r="ED558" t="s">
        <v>3016</v>
      </c>
      <c r="EE558" t="s">
        <v>3414</v>
      </c>
    </row>
    <row r="559" spans="124:135">
      <c r="DT559" s="256"/>
      <c r="ED559" t="s">
        <v>3017</v>
      </c>
      <c r="EE559" t="s">
        <v>3415</v>
      </c>
    </row>
    <row r="560" spans="124:135">
      <c r="DT560" s="191"/>
      <c r="ED560" t="s">
        <v>3018</v>
      </c>
      <c r="EE560" t="s">
        <v>3416</v>
      </c>
    </row>
    <row r="561" spans="124:135">
      <c r="DT561" s="256"/>
      <c r="ED561" t="s">
        <v>3019</v>
      </c>
      <c r="EE561" t="s">
        <v>3417</v>
      </c>
    </row>
    <row r="562" spans="124:135">
      <c r="DT562" s="191"/>
      <c r="ED562" t="s">
        <v>3020</v>
      </c>
      <c r="EE562" t="s">
        <v>3418</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ED593" t="s">
        <v>3051</v>
      </c>
      <c r="EE593" t="s">
        <v>3393</v>
      </c>
    </row>
    <row r="594" spans="124:135">
      <c r="DT594" s="257"/>
      <c r="ED594" t="s">
        <v>3052</v>
      </c>
      <c r="EE594" t="s">
        <v>3395</v>
      </c>
    </row>
    <row r="595" spans="124:135">
      <c r="DT595" s="256"/>
      <c r="ED595" t="s">
        <v>3053</v>
      </c>
      <c r="EE595" t="s">
        <v>3396</v>
      </c>
    </row>
    <row r="596" spans="124:135">
      <c r="DT596" s="256"/>
      <c r="ED596" t="s">
        <v>3054</v>
      </c>
      <c r="EE596" t="s">
        <v>3397</v>
      </c>
    </row>
    <row r="597" spans="124:135">
      <c r="DT597" s="257"/>
      <c r="ED597" t="s">
        <v>3055</v>
      </c>
      <c r="EE597" t="s">
        <v>3398</v>
      </c>
    </row>
    <row r="598" spans="124:135">
      <c r="DT598" s="257"/>
      <c r="ED598" t="s">
        <v>3056</v>
      </c>
      <c r="EE598" t="s">
        <v>3400</v>
      </c>
    </row>
    <row r="599" spans="124:135">
      <c r="DT599" s="191"/>
      <c r="ED599" t="s">
        <v>3057</v>
      </c>
      <c r="EE599" t="s">
        <v>3402</v>
      </c>
    </row>
    <row r="600" spans="124:135">
      <c r="DT600" s="191"/>
      <c r="ED600" t="s">
        <v>3058</v>
      </c>
      <c r="EE600" t="s">
        <v>3403</v>
      </c>
    </row>
    <row r="601" spans="124:135">
      <c r="DT601" s="257"/>
      <c r="ED601" t="s">
        <v>3059</v>
      </c>
      <c r="EE601" t="s">
        <v>3405</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3406</v>
      </c>
    </row>
    <row r="616" spans="124:135">
      <c r="DT616" s="256"/>
      <c r="ED616" t="s">
        <v>3074</v>
      </c>
      <c r="EE616" t="s">
        <v>3407</v>
      </c>
    </row>
    <row r="617" spans="124:135">
      <c r="DT617" s="256"/>
      <c r="ED617" t="s">
        <v>3075</v>
      </c>
      <c r="EE617" t="s">
        <v>3408</v>
      </c>
    </row>
    <row r="618" spans="124:135">
      <c r="DT618" s="256"/>
      <c r="ED618" t="s">
        <v>3076</v>
      </c>
      <c r="EE618" t="s">
        <v>3409</v>
      </c>
    </row>
    <row r="619" spans="124:135">
      <c r="DT619" s="256"/>
      <c r="ED619" t="s">
        <v>3077</v>
      </c>
      <c r="EE619" t="s">
        <v>3410</v>
      </c>
    </row>
    <row r="620" spans="124:135">
      <c r="DT620" s="191"/>
      <c r="ED620" t="s">
        <v>3078</v>
      </c>
      <c r="EE620" t="s">
        <v>3411</v>
      </c>
    </row>
    <row r="621" spans="124:135">
      <c r="ED621" t="s">
        <v>3079</v>
      </c>
      <c r="EE621" t="s">
        <v>3412</v>
      </c>
    </row>
    <row r="622" spans="124:135">
      <c r="ED622" t="s">
        <v>3080</v>
      </c>
      <c r="EE622" t="s">
        <v>3413</v>
      </c>
    </row>
    <row r="623" spans="124:135">
      <c r="ED623" t="s">
        <v>3081</v>
      </c>
      <c r="EE623" t="s">
        <v>3414</v>
      </c>
    </row>
    <row r="624" spans="124:135">
      <c r="ED624" t="s">
        <v>3082</v>
      </c>
      <c r="EE624" t="s">
        <v>3415</v>
      </c>
    </row>
    <row r="625" spans="134:135">
      <c r="ED625" t="s">
        <v>3083</v>
      </c>
      <c r="EE625" t="s">
        <v>3416</v>
      </c>
    </row>
    <row r="626" spans="134:135">
      <c r="ED626" t="s">
        <v>3084</v>
      </c>
      <c r="EE626" t="s">
        <v>3417</v>
      </c>
    </row>
    <row r="627" spans="134:135">
      <c r="ED627" t="s">
        <v>3085</v>
      </c>
      <c r="EE627" t="s">
        <v>3418</v>
      </c>
    </row>
    <row r="628" spans="134:135">
      <c r="ED628" t="s">
        <v>3086</v>
      </c>
      <c r="EE628" t="s">
        <v>2863</v>
      </c>
    </row>
    <row r="629" spans="134:135">
      <c r="ED629" t="s">
        <v>3087</v>
      </c>
      <c r="EE629" t="s">
        <v>2865</v>
      </c>
    </row>
    <row r="630" spans="134:135">
      <c r="ED630" t="s">
        <v>3088</v>
      </c>
      <c r="EE630" t="s">
        <v>2867</v>
      </c>
    </row>
    <row r="631" spans="134:135">
      <c r="ED631" t="s">
        <v>3089</v>
      </c>
      <c r="EE631" t="s">
        <v>2869</v>
      </c>
    </row>
    <row r="632" spans="134:135">
      <c r="ED632" t="s">
        <v>3090</v>
      </c>
      <c r="EE632" t="s">
        <v>2871</v>
      </c>
    </row>
    <row r="633" spans="134:135">
      <c r="ED633" t="s">
        <v>3091</v>
      </c>
      <c r="EE633" t="s">
        <v>2873</v>
      </c>
    </row>
    <row r="634" spans="134:135">
      <c r="ED634" t="s">
        <v>3092</v>
      </c>
      <c r="EE634" t="s">
        <v>2875</v>
      </c>
    </row>
    <row r="635" spans="134:135">
      <c r="ED635" t="s">
        <v>3093</v>
      </c>
      <c r="EE635" t="s">
        <v>2877</v>
      </c>
    </row>
    <row r="636" spans="134:135">
      <c r="ED636" t="s">
        <v>3094</v>
      </c>
      <c r="EE636" t="s">
        <v>2879</v>
      </c>
    </row>
    <row r="637" spans="134:135">
      <c r="ED637" t="s">
        <v>3095</v>
      </c>
      <c r="EE637" t="s">
        <v>2881</v>
      </c>
    </row>
    <row r="638" spans="134:135">
      <c r="ED638" t="s">
        <v>3096</v>
      </c>
      <c r="EE638" t="s">
        <v>2883</v>
      </c>
    </row>
    <row r="639" spans="134:135">
      <c r="ED639" t="s">
        <v>3097</v>
      </c>
      <c r="EE639" t="s">
        <v>2885</v>
      </c>
    </row>
    <row r="640" spans="134:135">
      <c r="ED640" t="s">
        <v>3098</v>
      </c>
      <c r="EE640" t="s">
        <v>2887</v>
      </c>
    </row>
    <row r="641" spans="128:135">
      <c r="ED641" t="s">
        <v>3099</v>
      </c>
      <c r="EE641" t="s">
        <v>2889</v>
      </c>
    </row>
    <row r="642" spans="128:135">
      <c r="DX642" s="270"/>
      <c r="ED642" t="s">
        <v>3100</v>
      </c>
      <c r="EE642" t="s">
        <v>2891</v>
      </c>
    </row>
    <row r="643" spans="128:135">
      <c r="DX643" s="243"/>
      <c r="ED643" t="s">
        <v>3101</v>
      </c>
      <c r="EE643" t="s">
        <v>2893</v>
      </c>
    </row>
    <row r="644" spans="128:135">
      <c r="DX644" s="279"/>
      <c r="ED644" t="s">
        <v>3102</v>
      </c>
      <c r="EE644" t="s">
        <v>2895</v>
      </c>
    </row>
    <row r="645" spans="128:135">
      <c r="DX645" s="243"/>
      <c r="ED645" t="s">
        <v>3103</v>
      </c>
      <c r="EE645" t="s">
        <v>2897</v>
      </c>
    </row>
    <row r="646" spans="128:135">
      <c r="ED646" t="s">
        <v>3104</v>
      </c>
      <c r="EE646" t="s">
        <v>2899</v>
      </c>
    </row>
    <row r="647" spans="128:135">
      <c r="ED647" t="s">
        <v>3105</v>
      </c>
      <c r="EE647" t="s">
        <v>2901</v>
      </c>
    </row>
    <row r="648" spans="128:135">
      <c r="ED648" t="s">
        <v>3106</v>
      </c>
      <c r="EE648" t="s">
        <v>2903</v>
      </c>
    </row>
    <row r="649" spans="128:135">
      <c r="ED649" t="s">
        <v>3107</v>
      </c>
      <c r="EE649" t="s">
        <v>2905</v>
      </c>
    </row>
    <row r="650" spans="128:135">
      <c r="ED650" t="s">
        <v>3108</v>
      </c>
      <c r="EE650" t="s">
        <v>2907</v>
      </c>
    </row>
    <row r="651" spans="128:135">
      <c r="ED651" t="s">
        <v>3109</v>
      </c>
      <c r="EE651" t="s">
        <v>2909</v>
      </c>
    </row>
    <row r="652" spans="128:135">
      <c r="ED652" t="s">
        <v>3110</v>
      </c>
      <c r="EE652" t="s">
        <v>2911</v>
      </c>
    </row>
    <row r="653" spans="128:135">
      <c r="ED653" t="s">
        <v>3111</v>
      </c>
      <c r="EE653" t="s">
        <v>2913</v>
      </c>
    </row>
    <row r="654" spans="128:135">
      <c r="ED654" t="s">
        <v>3112</v>
      </c>
      <c r="EE654" t="s">
        <v>2915</v>
      </c>
    </row>
    <row r="655" spans="128:135">
      <c r="ED655" t="s">
        <v>3113</v>
      </c>
      <c r="EE655" t="s">
        <v>2917</v>
      </c>
    </row>
    <row r="656" spans="128:135">
      <c r="ED656" t="s">
        <v>3114</v>
      </c>
      <c r="EE656" t="s">
        <v>2919</v>
      </c>
    </row>
    <row r="657" spans="124:135">
      <c r="ED657" t="s">
        <v>3115</v>
      </c>
      <c r="EE657" t="s">
        <v>2921</v>
      </c>
    </row>
    <row r="658" spans="124:135">
      <c r="DT658" s="243"/>
      <c r="DU658" s="270"/>
      <c r="ED658" t="s">
        <v>4270</v>
      </c>
      <c r="EE658" t="s">
        <v>3393</v>
      </c>
    </row>
    <row r="659" spans="124:135">
      <c r="DT659" s="243"/>
      <c r="DU659" s="270"/>
      <c r="ED659" t="s">
        <v>4271</v>
      </c>
      <c r="EE659" t="s">
        <v>3395</v>
      </c>
    </row>
    <row r="660" spans="124:135">
      <c r="DT660" s="243"/>
      <c r="DU660" s="270"/>
      <c r="ED660" t="s">
        <v>4272</v>
      </c>
      <c r="EE660" t="s">
        <v>3396</v>
      </c>
    </row>
    <row r="661" spans="124:135">
      <c r="DT661" s="243"/>
      <c r="DU661" s="270"/>
      <c r="ED661" t="s">
        <v>4273</v>
      </c>
      <c r="EE661" t="s">
        <v>3397</v>
      </c>
    </row>
    <row r="662" spans="124:135">
      <c r="DT662" s="271"/>
      <c r="DU662" s="270"/>
      <c r="ED662" t="s">
        <v>4274</v>
      </c>
      <c r="EE662" t="s">
        <v>3398</v>
      </c>
    </row>
    <row r="663" spans="124:135">
      <c r="DT663" s="271"/>
      <c r="DU663" s="270"/>
      <c r="ED663" t="s">
        <v>4275</v>
      </c>
      <c r="EE663" t="s">
        <v>3400</v>
      </c>
    </row>
    <row r="664" spans="124:135">
      <c r="DT664" s="271"/>
      <c r="DU664" s="270"/>
      <c r="ED664" t="s">
        <v>4276</v>
      </c>
      <c r="EE664" t="s">
        <v>3402</v>
      </c>
    </row>
    <row r="665" spans="124:135">
      <c r="DT665" s="271"/>
      <c r="DU665" s="270"/>
      <c r="ED665" t="s">
        <v>4277</v>
      </c>
      <c r="EE665" t="s">
        <v>3403</v>
      </c>
    </row>
    <row r="666" spans="124:135">
      <c r="DT666" s="75"/>
      <c r="DU666" s="270"/>
      <c r="ED666" t="s">
        <v>4278</v>
      </c>
      <c r="EE666" t="s">
        <v>3405</v>
      </c>
    </row>
    <row r="667" spans="124:135">
      <c r="DT667" s="75"/>
      <c r="DU667" s="270"/>
      <c r="ED667" t="s">
        <v>4279</v>
      </c>
      <c r="EE667" t="s">
        <v>2812</v>
      </c>
    </row>
    <row r="668" spans="124:135">
      <c r="DT668" s="75"/>
      <c r="DU668" s="270"/>
      <c r="ED668" t="s">
        <v>4280</v>
      </c>
      <c r="EE668" t="s">
        <v>2814</v>
      </c>
    </row>
    <row r="669" spans="124:135">
      <c r="DT669" s="75"/>
      <c r="DU669" s="270"/>
      <c r="ED669" t="s">
        <v>4281</v>
      </c>
      <c r="EE669" t="s">
        <v>2816</v>
      </c>
    </row>
    <row r="670" spans="124:135">
      <c r="DT670" s="270"/>
      <c r="DU670" s="270"/>
      <c r="ED670" t="s">
        <v>4282</v>
      </c>
      <c r="EE670" t="s">
        <v>2818</v>
      </c>
    </row>
    <row r="671" spans="124:135">
      <c r="DT671" s="270"/>
      <c r="DU671" s="270"/>
      <c r="ED671" t="s">
        <v>4283</v>
      </c>
      <c r="EE671" t="s">
        <v>2820</v>
      </c>
    </row>
    <row r="672" spans="124:135">
      <c r="DT672" s="270"/>
      <c r="DU672" s="270"/>
      <c r="ED672" t="s">
        <v>4284</v>
      </c>
      <c r="EE672" t="s">
        <v>2822</v>
      </c>
    </row>
    <row r="673" spans="124:135">
      <c r="DT673" s="270"/>
      <c r="DU673" s="270"/>
      <c r="ED673" t="s">
        <v>4285</v>
      </c>
      <c r="EE673" t="s">
        <v>2824</v>
      </c>
    </row>
    <row r="674" spans="124:135">
      <c r="ED674" t="s">
        <v>4286</v>
      </c>
      <c r="EE674" t="s">
        <v>2826</v>
      </c>
    </row>
    <row r="675" spans="124:135">
      <c r="ED675" t="s">
        <v>4287</v>
      </c>
      <c r="EE675" t="s">
        <v>2828</v>
      </c>
    </row>
    <row r="676" spans="124:135">
      <c r="ED676" t="s">
        <v>4288</v>
      </c>
      <c r="EE676" t="s">
        <v>2830</v>
      </c>
    </row>
    <row r="677" spans="124:135">
      <c r="ED677" t="s">
        <v>4268</v>
      </c>
      <c r="EE677" t="s">
        <v>2831</v>
      </c>
    </row>
    <row r="678" spans="124:135">
      <c r="ED678" t="s">
        <v>4289</v>
      </c>
      <c r="EE678" t="s">
        <v>2833</v>
      </c>
    </row>
    <row r="679" spans="124:135">
      <c r="ED679" t="s">
        <v>4290</v>
      </c>
      <c r="EE679" t="s">
        <v>2835</v>
      </c>
    </row>
    <row r="680" spans="124:135">
      <c r="ED680" t="s">
        <v>4291</v>
      </c>
      <c r="EE680" t="s">
        <v>3406</v>
      </c>
    </row>
    <row r="681" spans="124:135">
      <c r="ED681" t="s">
        <v>4292</v>
      </c>
      <c r="EE681" t="s">
        <v>3407</v>
      </c>
    </row>
    <row r="682" spans="124:135">
      <c r="ED682" t="s">
        <v>4293</v>
      </c>
      <c r="EE682" t="s">
        <v>3408</v>
      </c>
    </row>
    <row r="683" spans="124:135">
      <c r="ED683" t="s">
        <v>4294</v>
      </c>
      <c r="EE683" t="s">
        <v>3409</v>
      </c>
    </row>
    <row r="684" spans="124:135">
      <c r="ED684" t="s">
        <v>4295</v>
      </c>
      <c r="EE684" t="s">
        <v>3410</v>
      </c>
    </row>
    <row r="685" spans="124:135">
      <c r="ED685" t="s">
        <v>4296</v>
      </c>
      <c r="EE685" t="s">
        <v>3411</v>
      </c>
    </row>
    <row r="686" spans="124:135">
      <c r="ED686" t="s">
        <v>4297</v>
      </c>
      <c r="EE686" t="s">
        <v>3412</v>
      </c>
    </row>
    <row r="687" spans="124:135">
      <c r="ED687" t="s">
        <v>4298</v>
      </c>
      <c r="EE687" t="s">
        <v>3413</v>
      </c>
    </row>
    <row r="688" spans="124:135">
      <c r="ED688" t="s">
        <v>4299</v>
      </c>
      <c r="EE688" t="s">
        <v>3414</v>
      </c>
    </row>
    <row r="689" spans="134:135">
      <c r="ED689" t="s">
        <v>4300</v>
      </c>
      <c r="EE689" t="s">
        <v>3415</v>
      </c>
    </row>
    <row r="690" spans="134:135">
      <c r="ED690" t="s">
        <v>4301</v>
      </c>
      <c r="EE690" t="s">
        <v>3416</v>
      </c>
    </row>
    <row r="691" spans="134:135">
      <c r="ED691" t="s">
        <v>4302</v>
      </c>
      <c r="EE691" t="s">
        <v>3417</v>
      </c>
    </row>
    <row r="692" spans="134:135">
      <c r="ED692" t="s">
        <v>4303</v>
      </c>
      <c r="EE692" t="s">
        <v>3418</v>
      </c>
    </row>
    <row r="693" spans="134:135">
      <c r="ED693" t="s">
        <v>4304</v>
      </c>
      <c r="EE693" t="s">
        <v>2863</v>
      </c>
    </row>
    <row r="694" spans="134:135">
      <c r="ED694" t="s">
        <v>4305</v>
      </c>
      <c r="EE694" t="s">
        <v>2865</v>
      </c>
    </row>
    <row r="695" spans="134:135">
      <c r="ED695" t="s">
        <v>4306</v>
      </c>
      <c r="EE695" t="s">
        <v>2867</v>
      </c>
    </row>
    <row r="696" spans="134:135">
      <c r="ED696" t="s">
        <v>4307</v>
      </c>
      <c r="EE696" t="s">
        <v>2869</v>
      </c>
    </row>
    <row r="697" spans="134:135">
      <c r="ED697" t="s">
        <v>4308</v>
      </c>
      <c r="EE697" t="s">
        <v>2871</v>
      </c>
    </row>
    <row r="698" spans="134:135">
      <c r="ED698" t="s">
        <v>4309</v>
      </c>
      <c r="EE698" t="s">
        <v>2873</v>
      </c>
    </row>
    <row r="699" spans="134:135">
      <c r="ED699" t="s">
        <v>4310</v>
      </c>
      <c r="EE699" t="s">
        <v>2875</v>
      </c>
    </row>
    <row r="700" spans="134:135">
      <c r="ED700" t="s">
        <v>4311</v>
      </c>
      <c r="EE700" t="s">
        <v>2877</v>
      </c>
    </row>
    <row r="701" spans="134:135">
      <c r="ED701" t="s">
        <v>4312</v>
      </c>
      <c r="EE701" t="s">
        <v>2879</v>
      </c>
    </row>
    <row r="702" spans="134:135">
      <c r="ED702" t="s">
        <v>4313</v>
      </c>
      <c r="EE702" t="s">
        <v>2881</v>
      </c>
    </row>
    <row r="703" spans="134:135">
      <c r="ED703" t="s">
        <v>4314</v>
      </c>
      <c r="EE703" t="s">
        <v>2883</v>
      </c>
    </row>
    <row r="704" spans="134:135">
      <c r="ED704" t="s">
        <v>4315</v>
      </c>
      <c r="EE704" t="s">
        <v>2885</v>
      </c>
    </row>
    <row r="705" spans="134:135">
      <c r="ED705" t="s">
        <v>4316</v>
      </c>
      <c r="EE705" t="s">
        <v>2887</v>
      </c>
    </row>
    <row r="706" spans="134:135">
      <c r="ED706" t="s">
        <v>4317</v>
      </c>
      <c r="EE706" t="s">
        <v>2889</v>
      </c>
    </row>
    <row r="707" spans="134:135">
      <c r="ED707" t="s">
        <v>4318</v>
      </c>
      <c r="EE707" t="s">
        <v>2891</v>
      </c>
    </row>
    <row r="708" spans="134:135">
      <c r="ED708" t="s">
        <v>4319</v>
      </c>
      <c r="EE708" t="s">
        <v>2893</v>
      </c>
    </row>
    <row r="709" spans="134:135">
      <c r="ED709" t="s">
        <v>4320</v>
      </c>
      <c r="EE709" t="s">
        <v>2895</v>
      </c>
    </row>
    <row r="710" spans="134:135">
      <c r="ED710" t="s">
        <v>4321</v>
      </c>
      <c r="EE710" t="s">
        <v>2897</v>
      </c>
    </row>
    <row r="711" spans="134:135">
      <c r="ED711" t="s">
        <v>4322</v>
      </c>
      <c r="EE711" t="s">
        <v>2899</v>
      </c>
    </row>
    <row r="712" spans="134:135">
      <c r="ED712" t="s">
        <v>4323</v>
      </c>
      <c r="EE712" t="s">
        <v>2901</v>
      </c>
    </row>
    <row r="713" spans="134:135">
      <c r="ED713" t="s">
        <v>4324</v>
      </c>
      <c r="EE713" t="s">
        <v>2903</v>
      </c>
    </row>
    <row r="714" spans="134:135">
      <c r="ED714" t="s">
        <v>4325</v>
      </c>
      <c r="EE714" t="s">
        <v>2905</v>
      </c>
    </row>
    <row r="715" spans="134:135">
      <c r="ED715" t="s">
        <v>4326</v>
      </c>
      <c r="EE715" t="s">
        <v>2907</v>
      </c>
    </row>
    <row r="716" spans="134:135">
      <c r="ED716" t="s">
        <v>4327</v>
      </c>
      <c r="EE716" t="s">
        <v>2909</v>
      </c>
    </row>
    <row r="717" spans="134:135">
      <c r="ED717" t="s">
        <v>4328</v>
      </c>
      <c r="EE717" t="s">
        <v>2911</v>
      </c>
    </row>
    <row r="718" spans="134:135">
      <c r="ED718" t="s">
        <v>4329</v>
      </c>
      <c r="EE718" t="s">
        <v>2913</v>
      </c>
    </row>
    <row r="719" spans="134:135">
      <c r="ED719" t="s">
        <v>4330</v>
      </c>
      <c r="EE719" t="s">
        <v>2915</v>
      </c>
    </row>
    <row r="720" spans="134:135">
      <c r="ED720" t="s">
        <v>4331</v>
      </c>
      <c r="EE720" t="s">
        <v>2917</v>
      </c>
    </row>
    <row r="721" spans="134:135">
      <c r="ED721" t="s">
        <v>4332</v>
      </c>
      <c r="EE721" t="s">
        <v>2919</v>
      </c>
    </row>
    <row r="722" spans="134:135">
      <c r="ED722" t="s">
        <v>4333</v>
      </c>
      <c r="EE722" t="s">
        <v>2921</v>
      </c>
    </row>
    <row r="723" spans="134:135">
      <c r="ED723" t="s">
        <v>4361</v>
      </c>
      <c r="EE723" t="s">
        <v>4372</v>
      </c>
    </row>
    <row r="724" spans="134:135">
      <c r="ED724" t="s">
        <v>4362</v>
      </c>
      <c r="EE724" t="s">
        <v>4373</v>
      </c>
    </row>
    <row r="725" spans="134:135">
      <c r="ED725" t="s">
        <v>2642</v>
      </c>
      <c r="EE725" t="s">
        <v>4372</v>
      </c>
    </row>
    <row r="726" spans="134:135">
      <c r="ED726" t="s">
        <v>2643</v>
      </c>
      <c r="EE726" t="s">
        <v>4373</v>
      </c>
    </row>
    <row r="727" spans="134:135">
      <c r="ED727" t="s">
        <v>2653</v>
      </c>
      <c r="EE727" t="s">
        <v>4372</v>
      </c>
    </row>
    <row r="728" spans="134:135">
      <c r="ED728" t="s">
        <v>2654</v>
      </c>
      <c r="EE728" t="s">
        <v>4373</v>
      </c>
    </row>
    <row r="729" spans="134:135">
      <c r="ED729" t="s">
        <v>2652</v>
      </c>
      <c r="EE729" t="s">
        <v>4372</v>
      </c>
    </row>
    <row r="730" spans="134:135">
      <c r="ED730" t="s">
        <v>2657</v>
      </c>
      <c r="EE730" t="s">
        <v>4373</v>
      </c>
    </row>
    <row r="731" spans="134:135">
      <c r="ED731" t="s">
        <v>2655</v>
      </c>
      <c r="EE731" t="s">
        <v>4372</v>
      </c>
    </row>
    <row r="732" spans="134:135">
      <c r="ED732" t="s">
        <v>2658</v>
      </c>
      <c r="EE732" t="s">
        <v>4373</v>
      </c>
    </row>
    <row r="733" spans="134:135">
      <c r="ED733" t="s">
        <v>2656</v>
      </c>
      <c r="EE733" t="s">
        <v>4372</v>
      </c>
    </row>
    <row r="734" spans="134:135">
      <c r="ED734" t="s">
        <v>2659</v>
      </c>
      <c r="EE734" t="s">
        <v>4373</v>
      </c>
    </row>
    <row r="735" spans="134:135">
      <c r="ED735" t="s">
        <v>4393</v>
      </c>
      <c r="EE735" t="s">
        <v>4375</v>
      </c>
    </row>
    <row r="736" spans="134:135">
      <c r="ED736" t="s">
        <v>4393</v>
      </c>
      <c r="EE736" t="s">
        <v>4375</v>
      </c>
    </row>
    <row r="737" spans="134:135">
      <c r="ED737" t="s">
        <v>4394</v>
      </c>
      <c r="EE737" t="s">
        <v>4376</v>
      </c>
    </row>
    <row r="738" spans="134:135">
      <c r="ED738" t="s">
        <v>4394</v>
      </c>
      <c r="EE738" t="s">
        <v>4376</v>
      </c>
    </row>
    <row r="739" spans="134:135">
      <c r="ED739" t="s">
        <v>2689</v>
      </c>
      <c r="EE739" t="s">
        <v>4376</v>
      </c>
    </row>
    <row r="740" spans="134:135">
      <c r="ED740" t="s">
        <v>2689</v>
      </c>
      <c r="EE740" t="s">
        <v>4376</v>
      </c>
    </row>
    <row r="741" spans="134:135">
      <c r="ED741" t="s">
        <v>4395</v>
      </c>
      <c r="EE741" t="s">
        <v>4375</v>
      </c>
    </row>
    <row r="742" spans="134:135">
      <c r="ED742" t="s">
        <v>4395</v>
      </c>
      <c r="EE742" t="s">
        <v>4375</v>
      </c>
    </row>
    <row r="743" spans="134:135">
      <c r="ED743" t="s">
        <v>4348</v>
      </c>
      <c r="EE743" t="s">
        <v>4375</v>
      </c>
    </row>
    <row r="744" spans="134:135">
      <c r="ED744" t="s">
        <v>4348</v>
      </c>
      <c r="EE744" t="s">
        <v>4375</v>
      </c>
    </row>
    <row r="745" spans="134:135">
      <c r="ED745" t="s">
        <v>4347</v>
      </c>
      <c r="EE745" t="s">
        <v>4376</v>
      </c>
    </row>
    <row r="746" spans="134:135">
      <c r="ED746" t="s">
        <v>4347</v>
      </c>
      <c r="EE746" t="s">
        <v>4376</v>
      </c>
    </row>
    <row r="747" spans="134:135">
      <c r="ED747" t="s">
        <v>2695</v>
      </c>
      <c r="EE747" t="s">
        <v>4375</v>
      </c>
    </row>
    <row r="748" spans="134:135">
      <c r="ED748" t="s">
        <v>2695</v>
      </c>
      <c r="EE748" t="s">
        <v>4375</v>
      </c>
    </row>
    <row r="749" spans="134:135">
      <c r="ED749" t="s">
        <v>4363</v>
      </c>
      <c r="EE749" t="s">
        <v>4376</v>
      </c>
    </row>
    <row r="750" spans="134:135">
      <c r="ED750" t="s">
        <v>4363</v>
      </c>
      <c r="EE750" t="s">
        <v>4376</v>
      </c>
    </row>
    <row r="751" spans="134:135">
      <c r="ED751" t="s">
        <v>2674</v>
      </c>
      <c r="EE751" t="s">
        <v>4376</v>
      </c>
    </row>
    <row r="752" spans="134:135">
      <c r="ED752" t="s">
        <v>2674</v>
      </c>
      <c r="EE752" t="s">
        <v>4376</v>
      </c>
    </row>
    <row r="753" spans="134:135">
      <c r="ED753" t="s">
        <v>2688</v>
      </c>
      <c r="EE753" t="s">
        <v>4375</v>
      </c>
    </row>
    <row r="754" spans="134:135">
      <c r="ED754" t="s">
        <v>2688</v>
      </c>
      <c r="EE754" t="s">
        <v>4375</v>
      </c>
    </row>
    <row r="755" spans="134:135">
      <c r="ED755" t="s">
        <v>4377</v>
      </c>
      <c r="EE755" t="s">
        <v>4376</v>
      </c>
    </row>
    <row r="756" spans="134:135">
      <c r="ED756" t="s">
        <v>4378</v>
      </c>
      <c r="EE756" t="s">
        <v>4375</v>
      </c>
    </row>
    <row r="757" spans="134:135">
      <c r="ED757" t="s">
        <v>2653</v>
      </c>
      <c r="EE757" t="s">
        <v>4372</v>
      </c>
    </row>
    <row r="758" spans="134:135">
      <c r="ED758" t="s">
        <v>2654</v>
      </c>
      <c r="EE758" t="s">
        <v>4373</v>
      </c>
    </row>
  </sheetData>
  <phoneticPr fontId="3" type="noConversion"/>
  <conditionalFormatting sqref="A32:A33 A46:A51 A55:A58 A3:A15 A17:A29 A36:A38 A40:A44 A72:A99 DW346:DW347">
    <cfRule type="expression" dxfId="811" priority="565" stopIfTrue="1">
      <formula>AND(COUNTIF($A$36:$A$38, A3)+COUNTIF($A$3:$A$15, A3)+COUNTIF($A$17:$A$29, A3)+COUNTIF($A$32:$A$34, A3)+COUNTIF($A$40:$A$44, A3)+COUNTIF($A$46:$A$51, A3)+COUNTIF($A$53:$A$99, A3)&gt;1,NOT(ISBLANK(A3)))</formula>
    </cfRule>
  </conditionalFormatting>
  <conditionalFormatting sqref="A33 A51 A55:A58">
    <cfRule type="expression" dxfId="810" priority="492" stopIfTrue="1">
      <formula>AND(COUNTIF($A$51:$A$51, A33)+COUNTIF(#REF!, A33)+COUNTIF($A$33:$A$33, A33)&gt;1,NOT(ISBLANK(A33)))</formula>
    </cfRule>
  </conditionalFormatting>
  <conditionalFormatting sqref="F14:F19">
    <cfRule type="duplicateValues" dxfId="809" priority="30"/>
  </conditionalFormatting>
  <conditionalFormatting sqref="P2:P61 P63:P65536">
    <cfRule type="expression" dxfId="808" priority="462" stopIfTrue="1">
      <formula>AND(COUNTIF($P$63:$P$65536, P2)+COUNTIF($P$2:$P$61, P2)&gt;1,NOT(ISBLANK(P2)))</formula>
    </cfRule>
  </conditionalFormatting>
  <conditionalFormatting sqref="Q2 Q4 Q6:Q12 Q15:Q20 Q22:Q23 Q26:Q54 S27:S30 Q68:Q65536">
    <cfRule type="expression" dxfId="807" priority="555" stopIfTrue="1">
      <formula>AND(COUNTIF($Q$68:$Q$65536, Q2)+COUNTIF($Q$2:$Q$2, Q2)+COUNTIF($Q$4:$Q$4, Q2)+COUNTIF($Q$6:$Q$54, Q2)&gt;1,NOT(ISBLANK(Q2)))</formula>
    </cfRule>
  </conditionalFormatting>
  <conditionalFormatting sqref="R4:R6">
    <cfRule type="duplicateValues" dxfId="806" priority="52"/>
  </conditionalFormatting>
  <conditionalFormatting sqref="R7 R9">
    <cfRule type="duplicateValues" dxfId="805" priority="536"/>
  </conditionalFormatting>
  <conditionalFormatting sqref="R10">
    <cfRule type="duplicateValues" dxfId="804" priority="50"/>
  </conditionalFormatting>
  <conditionalFormatting sqref="R11:R18 R29:R33">
    <cfRule type="duplicateValues" dxfId="803" priority="553"/>
  </conditionalFormatting>
  <conditionalFormatting sqref="R19:R20 R37:R39 R34">
    <cfRule type="duplicateValues" dxfId="802" priority="505"/>
  </conditionalFormatting>
  <conditionalFormatting sqref="R21:R23">
    <cfRule type="duplicateValues" dxfId="801" priority="47"/>
  </conditionalFormatting>
  <conditionalFormatting sqref="R49:R55">
    <cfRule type="duplicateValues" dxfId="800" priority="63"/>
  </conditionalFormatting>
  <conditionalFormatting sqref="R49:R61 R2 R63:R65536">
    <cfRule type="expression" dxfId="799" priority="461" stopIfTrue="1">
      <formula>AND(COUNTIF($R$2:$R$2, R2)+COUNTIF($R$63:$R$65536, R2)+COUNTIF($R$49:$R$61, R2)&gt;1,NOT(ISBLANK(R2)))</formula>
    </cfRule>
  </conditionalFormatting>
  <conditionalFormatting sqref="R56:R57">
    <cfRule type="duplicateValues" dxfId="798" priority="64"/>
  </conditionalFormatting>
  <conditionalFormatting sqref="R58:R61 R63">
    <cfRule type="expression" dxfId="797" priority="463" stopIfTrue="1">
      <formula>AND(COUNTIF($R$63:$R$63, R58)+COUNTIF($R$58:$R$61, R58)&gt;1,NOT(ISBLANK(R58)))</formula>
    </cfRule>
  </conditionalFormatting>
  <conditionalFormatting sqref="S4">
    <cfRule type="duplicateValues" dxfId="796" priority="46"/>
  </conditionalFormatting>
  <conditionalFormatting sqref="S6:S8 S10">
    <cfRule type="duplicateValues" dxfId="795" priority="562"/>
  </conditionalFormatting>
  <conditionalFormatting sqref="S12:S17">
    <cfRule type="duplicateValues" dxfId="794" priority="45"/>
  </conditionalFormatting>
  <conditionalFormatting sqref="S18:S19">
    <cfRule type="duplicateValues" dxfId="793" priority="44"/>
  </conditionalFormatting>
  <conditionalFormatting sqref="S20:S26">
    <cfRule type="duplicateValues" dxfId="792" priority="539"/>
  </conditionalFormatting>
  <conditionalFormatting sqref="S31:S52">
    <cfRule type="duplicateValues" dxfId="791" priority="561"/>
  </conditionalFormatting>
  <conditionalFormatting sqref="T4">
    <cfRule type="duplicateValues" dxfId="790" priority="42"/>
  </conditionalFormatting>
  <conditionalFormatting sqref="U4:U6">
    <cfRule type="duplicateValues" dxfId="789" priority="39"/>
  </conditionalFormatting>
  <conditionalFormatting sqref="U7:U14 U26:U30">
    <cfRule type="duplicateValues" dxfId="788" priority="556"/>
  </conditionalFormatting>
  <conditionalFormatting sqref="U15:U16 U31:U32">
    <cfRule type="duplicateValues" dxfId="787" priority="511"/>
  </conditionalFormatting>
  <conditionalFormatting sqref="U17:U19">
    <cfRule type="duplicateValues" dxfId="786" priority="36"/>
  </conditionalFormatting>
  <conditionalFormatting sqref="V4:V6">
    <cfRule type="duplicateValues" dxfId="785" priority="35"/>
  </conditionalFormatting>
  <conditionalFormatting sqref="V17:V19">
    <cfRule type="duplicateValues" dxfId="784" priority="32"/>
  </conditionalFormatting>
  <conditionalFormatting sqref="V21:V30 V7:V14">
    <cfRule type="duplicateValues" dxfId="783" priority="560"/>
  </conditionalFormatting>
  <conditionalFormatting sqref="V31:V32 V15:V16">
    <cfRule type="duplicateValues" dxfId="782" priority="517"/>
  </conditionalFormatting>
  <conditionalFormatting sqref="AC4:AC13 AC15:AC22 AC29:AC34 AC40:AC41 AC43:AC45 AC50:AC53 AC60:AC63">
    <cfRule type="cellIs" dxfId="781" priority="76" operator="equal">
      <formula>1</formula>
    </cfRule>
  </conditionalFormatting>
  <conditionalFormatting sqref="BQ9:BQ10">
    <cfRule type="duplicateValues" dxfId="780" priority="28"/>
  </conditionalFormatting>
  <conditionalFormatting sqref="BQ2:BR2">
    <cfRule type="duplicateValues" dxfId="779" priority="29"/>
  </conditionalFormatting>
  <conditionalFormatting sqref="DT2:DT44">
    <cfRule type="duplicateValues" dxfId="776" priority="9"/>
  </conditionalFormatting>
  <conditionalFormatting sqref="DT2:DT570">
    <cfRule type="duplicateValues" dxfId="775" priority="4"/>
  </conditionalFormatting>
  <conditionalFormatting sqref="DT45:DT87">
    <cfRule type="duplicateValues" dxfId="774" priority="7"/>
  </conditionalFormatting>
  <conditionalFormatting sqref="DT88:DT130">
    <cfRule type="duplicateValues" dxfId="773" priority="8"/>
  </conditionalFormatting>
  <conditionalFormatting sqref="DT131:DT173">
    <cfRule type="duplicateValues" dxfId="772" priority="10"/>
  </conditionalFormatting>
  <conditionalFormatting sqref="DT174:DT217">
    <cfRule type="duplicateValues" dxfId="771" priority="11"/>
  </conditionalFormatting>
  <conditionalFormatting sqref="DT257:DT287">
    <cfRule type="duplicateValues" dxfId="770" priority="22"/>
  </conditionalFormatting>
  <conditionalFormatting sqref="DU257:DU286">
    <cfRule type="duplicateValues" dxfId="769" priority="17"/>
  </conditionalFormatting>
  <conditionalFormatting sqref="DU287">
    <cfRule type="duplicateValues" dxfId="768" priority="16"/>
  </conditionalFormatting>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topLeftCell="A5"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7109375" style="169" customWidth="1"/>
    <col min="5" max="5" width="5.285156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"&amp;2</f>
        <v>Ramka  2</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Wprowadzenie</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IFERROR(IF(kombinace_2!FC2=TRUE,'Translate&amp;Prices&amp;Logo'!B654,IF(VLOOKUP(H8,kombinace_2!$A:$E,5,0)=3,'Translate&amp;Prices&amp;Logo'!B642,"")),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Ramka  1</v>
      </c>
      <c r="C5" s="687"/>
      <c r="D5" s="687"/>
      <c r="E5" s="163"/>
      <c r="F5" s="687" t="str">
        <f>'Translate&amp;Prices&amp;Logo'!$B$169&amp;" "&amp;" "&amp;2</f>
        <v>Ramka  2</v>
      </c>
      <c r="G5" s="687"/>
      <c r="H5" s="687"/>
      <c r="I5" s="15"/>
      <c r="J5" s="687" t="str">
        <f>'Translate&amp;Prices&amp;Logo'!$B$169&amp;" "&amp;" "&amp;3</f>
        <v>Ramka  3</v>
      </c>
      <c r="K5" s="687"/>
      <c r="L5" s="687"/>
      <c r="M5" s="15"/>
      <c r="N5" s="687" t="str">
        <f>'Translate&amp;Prices&amp;Logo'!$B$169&amp;" "&amp;" "&amp;4</f>
        <v>Ramka  4</v>
      </c>
      <c r="O5" s="687"/>
      <c r="P5" s="687"/>
      <c r="Q5" s="15"/>
      <c r="R5" s="687" t="str">
        <f>'Translate&amp;Prices&amp;Logo'!$B$169&amp;" "&amp;" "&amp;5</f>
        <v>Ramka  5</v>
      </c>
      <c r="S5" s="687"/>
      <c r="T5" s="687"/>
      <c r="U5" s="15"/>
      <c r="V5" s="687" t="str">
        <f>'Translate&amp;Prices&amp;Logo'!$B$169&amp;" "&amp;" "&amp;6</f>
        <v>Ramka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Połączenie 2 profili</v>
      </c>
      <c r="C7" s="720"/>
      <c r="D7" s="720"/>
      <c r="E7" s="720"/>
      <c r="F7" s="720"/>
      <c r="G7" s="669" t="str">
        <f>IF(kombinace_2!FC2=TRUE,AB4,"")</f>
        <v/>
      </c>
      <c r="H7" s="669"/>
      <c r="I7" s="669"/>
      <c r="J7" s="669"/>
      <c r="K7" s="669"/>
      <c r="L7" s="669"/>
      <c r="M7" s="669"/>
      <c r="N7" s="669"/>
      <c r="O7" s="669"/>
      <c r="P7" s="669"/>
      <c r="Q7" s="670"/>
      <c r="R7" s="289"/>
      <c r="S7" s="655" t="str">
        <f>'Translate&amp;Prices&amp;Logo'!$B$572</f>
        <v>Ważne informacje:</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t="e">
        <f>VLOOKUP(H8,kombinace_2!$A:$B,2,0)</f>
        <v>#N/A</v>
      </c>
      <c r="AV7" s="198" t="e">
        <f>IF(AU7=2,"Široký",IF(AU7=1,"Úzký",IF(AU7=3,"kombo")))</f>
        <v>#N/A</v>
      </c>
    </row>
    <row r="8" spans="1:65" ht="45.6" customHeight="1">
      <c r="A8" s="118"/>
      <c r="B8" s="281" t="str">
        <f>'Translate&amp;Prices&amp;Logo'!$B$653</f>
        <v>Wypełnienie z siatki</v>
      </c>
      <c r="C8" s="282"/>
      <c r="D8" s="282"/>
      <c r="E8" s="283" t="str">
        <f>'Translate&amp;Prices&amp;Logo'!$B$172</f>
        <v>Rodzaj profilu</v>
      </c>
      <c r="F8" s="283"/>
      <c r="G8" s="288"/>
      <c r="H8" s="721"/>
      <c r="I8" s="721"/>
      <c r="J8" s="721"/>
      <c r="K8" s="721"/>
      <c r="L8" s="721"/>
      <c r="M8" s="721"/>
      <c r="N8" s="721"/>
      <c r="O8" s="721"/>
      <c r="P8" s="721"/>
      <c r="Q8" s="722"/>
      <c r="R8" s="290"/>
      <c r="S8" s="706">
        <f>IF(AU10&gt;0,'Translate&amp;Prices&amp;Logo'!B303,IF(H8=kombinace_2!A54,'Translate&amp;Prices&amp;Logo'!B580,0))</f>
        <v>0</v>
      </c>
      <c r="T8" s="707"/>
      <c r="U8" s="707"/>
      <c r="V8" s="707"/>
      <c r="W8" s="707"/>
      <c r="X8" s="707"/>
      <c r="Y8" s="708"/>
      <c r="Z8" s="137"/>
      <c r="AA8" s="133"/>
      <c r="AB8" s="15"/>
      <c r="AC8" s="637" t="str">
        <f>'Translate&amp;Prices&amp;Logo'!$B$242</f>
        <v>Odległość od krawędzi</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IFERROR(IF(AND(VLOOKUP(H8,kombinace_2!$A:$D,4,0)=1,kombinace_2!FC2=FALSE),'Translate&amp;Prices&amp;Logo'!$B$543,0),0)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Rozstaw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IFERROR((VLOOKUP(H12,kombinace_2!$DP$2:$DQ$3,2,0)),"")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Odległość od górnej krawędzi</v>
      </c>
      <c r="AF10" s="15"/>
      <c r="AG10" s="15"/>
      <c r="AH10" s="15"/>
      <c r="AI10" s="117"/>
      <c r="AJ10" s="118"/>
      <c r="AK10" s="15"/>
      <c r="AL10" s="15"/>
      <c r="AM10" s="15"/>
      <c r="AN10" s="15"/>
      <c r="AO10" s="15"/>
      <c r="AP10" s="134"/>
      <c r="AQ10" s="373"/>
      <c r="AR10" s="15"/>
      <c r="AS10" s="15"/>
      <c r="AT10" s="197" t="s">
        <v>1306</v>
      </c>
      <c r="AU10" s="198">
        <f>IFERROR(VLOOKUP(H9,kombinace_2!$BY$13:$BZ$15,2,0),0)</f>
        <v>0</v>
      </c>
      <c r="AV10" s="198"/>
    </row>
    <row r="11" spans="1:65" ht="18" customHeight="1">
      <c r="A11" s="118"/>
      <c r="B11" s="695" t="str">
        <f>('Translate&amp;Prices&amp;Logo'!$B$543)&amp;" "&amp;"("&amp;'Translate&amp;Prices&amp;Logo'!$B$174&amp;")"</f>
        <v>Szprosy (Ilość sztuk)</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IFERROR(IF(kombinace_2!$H$1=TRUE,BA2+AY3,0),0)</f>
        <v>0</v>
      </c>
      <c r="AU11" s="204"/>
      <c r="AV11" s="198"/>
    </row>
    <row r="12" spans="1:65" ht="18" customHeight="1">
      <c r="A12" s="118"/>
      <c r="B12" s="638" t="str">
        <f>'Translate&amp;Prices&amp;Logo'!$B$258</f>
        <v>Typ okucia</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Marka okucia</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Rozstaw  mm</v>
      </c>
      <c r="AE14" s="645"/>
      <c r="AF14" s="15"/>
      <c r="AG14" s="15"/>
      <c r="AH14" s="15"/>
      <c r="AI14" s="117"/>
      <c r="AJ14" s="118"/>
      <c r="AK14" s="15"/>
      <c r="AL14" s="15"/>
      <c r="AM14" s="682" t="str">
        <f>('Translate&amp;Prices&amp;Logo'!$B$548)&amp;" "&amp;H26&amp;" "&amp;"mm"</f>
        <v>Rozstaw  mm</v>
      </c>
      <c r="AN14" s="15"/>
      <c r="AO14" s="138"/>
      <c r="AP14" s="131"/>
      <c r="AQ14" s="373"/>
      <c r="AR14" s="729"/>
      <c r="AS14" s="15"/>
      <c r="AT14" s="204"/>
      <c r="AU14" s="198"/>
      <c r="AV14" s="198"/>
      <c r="AW14" s="223" t="s">
        <v>2322</v>
      </c>
    </row>
    <row r="15" spans="1:65" ht="18" customHeight="1" thickBot="1">
      <c r="A15" s="118"/>
      <c r="B15" s="638" t="str">
        <f>'Translate&amp;Prices&amp;Logo'!$B$545</f>
        <v>Wariant okucia</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IF(H15=kombinace_2!AB40,'Translate&amp;Prices&amp;Logo'!$B$224,IF(H15=kombinace_2!AB41,'Translate&amp;Prices&amp;Logo'!$B$224,IF(H12='závěsy dle výklopu'!BQ2,'Translate&amp;Prices&amp;Logo'!$B$222,'Translate&amp;Prices&amp;Logo'!$B$218)))</f>
        <v>Wybierz pozycję ramki</v>
      </c>
      <c r="C16" s="694"/>
      <c r="D16" s="694"/>
      <c r="E16" s="694"/>
      <c r="F16" s="692"/>
      <c r="G16" s="692"/>
      <c r="H16" s="692"/>
      <c r="I16" s="692"/>
      <c r="J16" s="712" t="str">
        <f>IF(OR(H15=kombinace_2!AB40,H15=kombinace_2!AB7,H15=kombinace_2!AB15,H15=kombinace_2!AB20,H15=kombinace_2!AB21,H15=kombinace_2!AB22),'Translate&amp;Prices&amp;Logo'!$B$226,IF(H15=kombinace_2!AB41,'Translate&amp;Prices&amp;Logo'!$B$226,'Translate&amp;Prices&amp;Logo'!$B$232))</f>
        <v>Rodzaj drugiej ramki</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IF(H12='Translate&amp;Prices&amp;Logo'!B551,'Translate&amp;Prices&amp;Logo'!B238,IF(H15=kombinace_2!AB8,'Translate&amp;Prices&amp;Logo'!B284,0))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IF(H13="Salice",VLOOKUP(H17,kombinace_2!$BY:$BZ,2,0),0)</f>
        <v>0</v>
      </c>
    </row>
    <row r="18" spans="1:52" ht="18" customHeight="1">
      <c r="A18" s="118"/>
      <c r="B18" s="638">
        <f>IFERROR(IF(VLOOKUP(H15,kombinace_2!CD:CE,2,0)=1,'Translate&amp;Prices&amp;Logo'!$B$547,0),0)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IFERROR(IF(H12='Translate&amp;Prices&amp;Logo'!B551,'Translate&amp;Prices&amp;Logo'!$B$223,IF(VLOOKUP(H15,kombinace_2!CD:CE,2,0)=1,'Translate&amp;Prices&amp;Logo'!$B$223,)),0)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Odległość od dolnej krawędzi</v>
      </c>
      <c r="AM19" s="682"/>
      <c r="AN19" s="673">
        <v>0</v>
      </c>
      <c r="AO19" s="673"/>
      <c r="AP19" s="133"/>
      <c r="AQ19" s="373"/>
      <c r="AR19" s="728" t="str">
        <f>'Translate&amp;Prices&amp;Logo'!$B$176</f>
        <v>Wysokość</v>
      </c>
      <c r="AS19" s="15"/>
      <c r="AT19" s="204"/>
      <c r="AU19" s="196">
        <f>IFERROR(IF(H12='závěsy dle výklopu'!BR2,VLOOKUP(H15,kombinace_2!$CD$3:$CF$18,3,0),IF(H12='závěsy dle výklopu'!BQ2,1,0)),0)</f>
        <v>0</v>
      </c>
      <c r="AV19" s="198">
        <f>IFERROR(VLOOKUP(H15,kombinace_2!$CD:$CF,3,0),0)</f>
        <v>0</v>
      </c>
    </row>
    <row r="20" spans="1:52" ht="18" customHeight="1">
      <c r="A20" s="118"/>
      <c r="B20" s="697">
        <f>IF(H13&lt;&gt;"Salice",(IFERROR('Translate&amp;Prices&amp;Logo'!$B$242&amp;" "&amp;(VLOOKUP(H17,kombinace_2!$BY$32:$CA$35,2,0)),0)),0)</f>
        <v>0</v>
      </c>
      <c r="C20" s="636"/>
      <c r="D20" s="636"/>
      <c r="E20" s="636"/>
      <c r="F20" s="691">
        <v>100</v>
      </c>
      <c r="G20" s="691"/>
      <c r="H20" s="691"/>
      <c r="I20" s="691"/>
      <c r="J20" s="636">
        <f>IFERROR('Translate&amp;Prices&amp;Logo'!$B$242&amp;" "&amp;(VLOOKUP(H17,kombinace_2!$BY$32:$CA$35,3,0)),0)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IF(kombinace_2!FC2=FALSE,'Translate&amp;Prices&amp;Logo'!$B$173," ")</f>
        <v>Rodzaj szkła</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Nie zmieniaj po wybraniu rodzaj szkła/siatka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VLOOKUP(H17,kombinace_2!$BY$3:$BZ$6,2,0)</f>
        <v>#N/A</v>
      </c>
      <c r="AV23" s="198"/>
    </row>
    <row r="24" spans="1:52" ht="18" customHeight="1">
      <c r="A24" s="118"/>
      <c r="B24" s="667" t="str">
        <f>'Translate&amp;Prices&amp;Logo'!$B$562</f>
        <v>Rodzaj folii</v>
      </c>
      <c r="C24" s="668"/>
      <c r="D24" s="668"/>
      <c r="E24" s="668"/>
      <c r="F24" s="668"/>
      <c r="G24" s="155"/>
      <c r="H24" s="684"/>
      <c r="I24" s="684"/>
      <c r="J24" s="684"/>
      <c r="K24" s="684"/>
      <c r="L24" s="684"/>
      <c r="M24" s="684"/>
      <c r="N24" s="684"/>
      <c r="O24" s="684"/>
      <c r="P24" s="684"/>
      <c r="Q24" s="685"/>
      <c r="R24" s="118"/>
      <c r="S24" s="655" t="str">
        <f>'Translate&amp;Prices&amp;Logo'!$B$177</f>
        <v>Uwagi (notatki)</v>
      </c>
      <c r="T24" s="655"/>
      <c r="U24" s="655"/>
      <c r="Z24" s="137"/>
      <c r="AA24" s="135"/>
      <c r="AB24" s="136"/>
      <c r="AC24" s="637" t="str">
        <f>'Translate&amp;Prices&amp;Logo'!$B$242</f>
        <v>Odległość od krawędzi</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Rodzaj szkła/siatka</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Rozstaw  mm</v>
      </c>
      <c r="AG25" s="683"/>
      <c r="AH25" s="683"/>
      <c r="AI25" s="683"/>
      <c r="AJ25" s="683"/>
      <c r="AK25" s="683"/>
      <c r="AL25" s="680"/>
      <c r="AM25" s="681"/>
      <c r="AN25" s="15"/>
      <c r="AO25" s="137"/>
      <c r="AP25" s="140"/>
      <c r="AQ25" s="373"/>
      <c r="AR25" s="15"/>
      <c r="AS25" s="15"/>
      <c r="AT25" s="204"/>
      <c r="AU25" s="198" t="e">
        <f>VLOOKUP(H27,kombinace_2!$BY:$BZ,2,0)</f>
        <v>#N/A</v>
      </c>
      <c r="AV25" s="198"/>
    </row>
    <row r="26" spans="1:52" ht="18" customHeight="1">
      <c r="A26" s="118"/>
      <c r="B26" s="638" t="str">
        <f>'Translate&amp;Prices&amp;Logo'!$B$549</f>
        <v>Rozstaw uchwytu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Umieszczenie uchwytu</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Ilość sztuk</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VLOOKUP(H14,kombinace_2!$DN$7:$DO$24,2,0)</f>
        <v>#N/A</v>
      </c>
      <c r="AB29" s="679">
        <f>IF(kombinace_2!FC2=TRUE,AB4,IF(H12='závěsy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Cena ramek</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zl</v>
      </c>
      <c r="Q30" s="657"/>
      <c r="R30" s="118"/>
      <c r="S30" s="649"/>
      <c r="T30" s="650"/>
      <c r="U30" s="650"/>
      <c r="V30" s="650"/>
      <c r="W30" s="650"/>
      <c r="X30" s="650"/>
      <c r="Y30" s="651"/>
      <c r="Z30" s="15"/>
      <c r="AA30" s="15"/>
      <c r="AB30" s="118"/>
      <c r="AC30" s="15"/>
      <c r="AD30" s="15"/>
      <c r="AE30" s="15"/>
      <c r="AF30" s="678" t="str">
        <f>'Translate&amp;Prices&amp;Logo'!$B$175</f>
        <v>Szerokość</v>
      </c>
      <c r="AG30" s="678"/>
      <c r="AH30" s="678"/>
      <c r="AI30" s="671"/>
      <c r="AJ30" s="671"/>
      <c r="AK30" s="671"/>
      <c r="AL30" s="15"/>
      <c r="AM30" s="15"/>
      <c r="AN30" s="15"/>
      <c r="AO30" s="15"/>
      <c r="AP30" s="15"/>
      <c r="AQ30" s="15"/>
      <c r="AR30" s="15"/>
      <c r="AS30" s="15"/>
      <c r="AT30" s="204"/>
      <c r="AU30" s="196" t="e">
        <f>HLOOKUP("_Úzký_dolny_K12",kombinace_2!CV2:CW19,3,FALSE)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Podsumowanie</v>
      </c>
      <c r="AP31" s="727"/>
      <c r="AQ31" s="727"/>
      <c r="AR31" s="727"/>
      <c r="AS31" s="15"/>
      <c r="AT31" s="204"/>
      <c r="AU31" s="196" t="e">
        <f>AD44</f>
        <v>#N/A</v>
      </c>
    </row>
    <row r="32" spans="1:52" ht="17.25" customHeight="1">
      <c r="A32" s="118"/>
      <c r="B32" s="688" t="str">
        <f>'Translate&amp;Prices&amp;Logo'!$B$171</f>
        <v>Podane ceny nie zawierają podatku VAT ani nie zawierają ceny okuć!</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 xml:space="preserve">Ramki aluminiowe bez szkła dostarczane są w stanie rozmontowanym. </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IF(kombinace_2!V1=2,((AR14/1000)*(AI30/1000))*'Translate&amp;Prices&amp;Logo'!C94,0)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IF(kombinace_2!$V$1=3,IFERROR(((VLOOKUP(H24,'Translate&amp;Prices&amp;Logo'!B91:C93,2,0))*(AR14/1000)),0),0)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IF(kombinace_2!FC2=TRUE,_profily_síťka,IF(kombinace_2!H1=TRUE,_kombinovane_profily,_vše_profily))</f>
        <v>BRW (elox.) - maksymalna zalecana długość profilu 2500 mm</v>
      </c>
      <c r="L36" s="215" t="str">
        <f t="array" ref="L36:M36">IF(kombinace_2!H1=TRUE,'závěsy dle výklopu'!$BQ$2:$BR$2,
IF(H8=kombinace_2!A34,'závěsy dle výklopu'!$BQ$2,IF(H8=kombinace_2!A35,'závěsy dle výklopu'!$BQ$2,IF(H8=kombinace_2!A55,'závěsy dle výklopu'!$BQ$2,IF(H8=kombinace_2!A56,'závěsy dle výklopu'!$BQ$2,IF(H8=kombinace_2!A57,'závěsy dle výklopu'!$BQ$2,IF(H8=kombinace_2!A58,'závěsy dle výklopu'!$BQ$2,'závěsy dle výklopu'!$BQ$2:$BR$2)))))))</f>
        <v>Zawiasy</v>
      </c>
      <c r="M36" s="215" t="str">
        <v>Podnośniki</v>
      </c>
      <c r="P36" s="215" t="str" cm="1">
        <f t="array" ref="P36:P38">IF(H13=kombinace_2!BQ11,kombinace_2!$DN$2,kombinace_2!$DN$2:$DN$4)</f>
        <v>Nakładany</v>
      </c>
      <c r="T36" s="215">
        <f t="array" aca="1" ref="T36:T44" ca="1">IF(H13=kombinace_2!BQ11,
  kombinace_2!$FA$2:$FA$9,
  IF(AND(OR(H8=kombinace_2!A34,H8=kombinace_2!A35),H13='závěsy dle výklopu'!BQ4),
    INDIRECT(VLOOKUP(AD42&amp;"_Rocca",kombinace_2!$ER$1:$ES$108,2,0)),
    IF($AU$9=2,
      INDIRECT(VLOOKUP(AD42,kombinace_2!$ER$1:$ES$108,2,0)),
      IF($AU$9=3,
        INDIRECT(VLOOKUP($T$47,kombinace_2!$AA$1:$AB$100,2,0)),
      $Y$48)
    )
  )
)</f>
        <v>0</v>
      </c>
      <c r="AF36" s="215" t="e">
        <f>HLOOKUP($AD$44,'závěsy dle výklopu'!$CG$4:$EZ$10,2,0)</f>
        <v>#N/A</v>
      </c>
      <c r="AJ36" s="215">
        <f t="array" ref="AJ36:AJ40">IF(AM19&lt;2100,kombinace_2!BY8:BY12,kombinace_2!BY8:BY12)</f>
        <v>2</v>
      </c>
      <c r="AW36" s="313"/>
      <c r="AX36" s="313"/>
      <c r="AY36" s="313"/>
    </row>
    <row r="37" spans="1:58" s="215" customFormat="1" ht="15" hidden="1" customHeight="1">
      <c r="A37" s="198"/>
      <c r="B37" s="215" t="str">
        <v>BRW bialy matowy RAL 9003 - maksymalna zalecana długość profilu 2500 mm</v>
      </c>
      <c r="P37" s="215" t="e">
        <v>#N/A</v>
      </c>
      <c r="T37" s="215">
        <f ca="1"/>
        <v>0</v>
      </c>
      <c r="W37" s="215" t="str" cm="1">
        <f t="array" ref="W37">IF(Hlavní!$V$39=3,"",'Translate&amp;Prices&amp;Logo'!B556:B557)</f>
        <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bialy połysk RAL 9003 - maksymalna zalecana długość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szczotkowany - maksymalna zalecana długość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Czarny matowy - maksymalna zalecana długość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czarna szczotka - maksymalna zalecana długość profilu 2500 mm</v>
      </c>
      <c r="L41" s="215" t="str">
        <v xml:space="preserve">Kesseböhmer </v>
      </c>
      <c r="T41" s="215">
        <f ca="1"/>
        <v>0</v>
      </c>
      <c r="U41" s="215">
        <f>IF(Hlavní!$V$39=3,1,2)</f>
        <v>1</v>
      </c>
      <c r="AE41" s="215">
        <f>AF41</f>
        <v>0</v>
      </c>
      <c r="AH41" s="339"/>
      <c r="AI41" s="340" t="s">
        <v>3692</v>
      </c>
      <c r="AJ41" s="340" t="s">
        <v>3693</v>
      </c>
      <c r="AS41" s="215" t="s">
        <v>1316</v>
      </c>
      <c r="AW41" s="313"/>
      <c r="AX41" s="313"/>
      <c r="AY41" s="313"/>
    </row>
    <row r="42" spans="1:58" s="215" customFormat="1" ht="18.600000000000001" hidden="1" customHeight="1">
      <c r="A42" s="198"/>
      <c r="B42" s="215" t="str">
        <v>BRW acier grata - maksymalna zalecana długość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antracyt RAL 7021 - maksymalna zalecana długość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maksymalna zalecana długość profilu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light - maksymalna zalecana długość profilu 2500 mm</v>
      </c>
      <c r="M45" s="215" t="s">
        <v>2637</v>
      </c>
      <c r="N45" s="215" t="s">
        <v>1134</v>
      </c>
      <c r="AS45" s="191"/>
      <c r="AW45" s="313"/>
      <c r="AX45" s="313"/>
      <c r="AY45" s="313"/>
    </row>
    <row r="46" spans="1:58" s="215" customFormat="1" ht="14.85" hidden="1" customHeight="1">
      <c r="A46" s="198"/>
      <c r="B46" s="215" t="str">
        <v>BRW brąz - maksymalna zalecana długość profilu 2500 mm</v>
      </c>
      <c r="M46" s="215" t="s">
        <v>4509</v>
      </c>
    </row>
    <row r="47" spans="1:58" s="215" customFormat="1" ht="14.85" hidden="1" customHeight="1">
      <c r="A47" s="198"/>
      <c r="B47" s="215" t="str">
        <v>BRW INOX (stal nierdzewna) - maksymalna zalecana długość profilu 2500 mm</v>
      </c>
      <c r="M47" s="215" t="s">
        <v>4510</v>
      </c>
      <c r="T47" s="215" t="str">
        <f>CONCATENATE(H13,"_",VLOOKUP(kombinace_2!H1,kombinace_2!$J$14:$K$15,2,0))</f>
        <v>_2</v>
      </c>
      <c r="AI47" s="169"/>
      <c r="AJ47" s="335"/>
      <c r="AN47" s="723"/>
      <c r="AO47" s="723"/>
      <c r="AP47" s="723"/>
      <c r="AQ47" s="723"/>
    </row>
    <row r="48" spans="1:58" s="215" customFormat="1" ht="14.85" hidden="1" customHeight="1">
      <c r="A48" s="198"/>
      <c r="B48" s="215" t="str">
        <v>BRW złota- maksymalna zalecana długość profilu 2500 mm</v>
      </c>
      <c r="T48" s="215" t="e">
        <f>VLOOKUP(AD42,kombinace_2!ER:ES,2,0)</f>
        <v>#N/A</v>
      </c>
      <c r="AS48"/>
      <c r="AT48"/>
    </row>
    <row r="49" spans="1:46" s="215" customFormat="1" ht="14.85" hidden="1" customHeight="1">
      <c r="A49" s="198"/>
      <c r="B49" s="215" t="str">
        <v>BRW złota szczotkowany - maksymalna zalecana zalecana długość profilu 2500 mm</v>
      </c>
      <c r="AS49"/>
      <c r="AT49"/>
    </row>
    <row r="50" spans="1:46" s="215" customFormat="1" ht="14.85" hidden="1" customHeight="1">
      <c r="A50" s="198"/>
      <c r="B50" s="215" t="str">
        <v>Corleone (elox.)- maksymalna zalecana długość profilu 1500 mm</v>
      </c>
      <c r="AS50"/>
      <c r="AT50"/>
    </row>
    <row r="51" spans="1:46" s="215" customFormat="1" ht="14.85" hidden="1" customHeight="1">
      <c r="A51" s="198"/>
      <c r="B51" s="215" t="str">
        <v>Corleone czarny matowy - maksymalna zalecana długość profilu 1500 mm</v>
      </c>
      <c r="AS51"/>
      <c r="AT51"/>
    </row>
    <row r="52" spans="1:46" s="215" customFormat="1" ht="14.85" hidden="1" customHeight="1">
      <c r="A52" s="198"/>
      <c r="B52" s="215" t="str">
        <v>ASTI  czarne  - maksymalna zalecana długość profilu 2150</v>
      </c>
      <c r="AS52"/>
      <c r="AT52"/>
    </row>
    <row r="53" spans="1:46" s="215" customFormat="1" ht="14.85" hidden="1" customHeight="1">
      <c r="A53" s="198"/>
      <c r="B53" s="215" t="str">
        <v>ASTI  antracyt mat RAL 7021 mat lakier - maksymalna zalecana długość profilu 2500 mm</v>
      </c>
      <c r="AS53"/>
      <c r="AT53"/>
    </row>
    <row r="54" spans="1:46" s="215" customFormat="1" ht="14.85" hidden="1" customHeight="1">
      <c r="A54" s="198"/>
      <c r="B54" s="215" t="str">
        <v>Imola (elox.) - maksymalna zalecana długość profilu 2500 mm</v>
      </c>
      <c r="K54" s="215" t="str">
        <f t="array" ref="K54:K58">IF(OR($H$15=kombinace_2!AB40,$H$15=kombinace_2!AB7,$H$15=kombinace_2!AB15,$H$15=kombinace_2!AB20,$H$15=kombinace_2!AB21,$H$15=kombinace_2!AB22),'Translate&amp;Prices&amp;Logo'!$B$229:$B$231,IF($H$15=kombinace_2!AB41,'Translate&amp;Prices&amp;Logo'!$B$229:$B$231,'Translate&amp;Prices&amp;Logo'!$B$233:$B$237))</f>
        <v>Wąska ALU ramka</v>
      </c>
      <c r="T54" s="215" t="str">
        <f t="array" ref="T54:T56">kombinace_2!$EN$3:$EN$5</f>
        <v>Bez modyfikacji</v>
      </c>
      <c r="U54" s="215">
        <v>1</v>
      </c>
      <c r="X54" s="215" t="str">
        <f t="array" ref="X54:X56">kombinace_2!$X$3:$X$5</f>
        <v>transparentna</v>
      </c>
      <c r="AD54" s="215" t="e">
        <f t="array" aca="1" ref="AD54:AD97" ca="1">IF(kombinace_2!FC2=FALSE,
IF(OR(H8=kombinace_2!A17,H8=kombinace_2!A18,H8=kombinace_2!A25,H8=kombinace_2!A26,H8=kombinace_2!A27,H8=kombinace_2!A28),_corleone,INDIRECT(kombinace_2!S1)),
IF(kombinace_2!FC2=TRUE,INDIRECT(VLOOKUP(Ram_1!H8,'závěsy dle výklopu'!A81:B90,2,0)),0))</f>
        <v>#N/A</v>
      </c>
      <c r="AS54"/>
      <c r="AT54"/>
    </row>
    <row r="55" spans="1:46" s="215" customFormat="1" ht="14.85" hidden="1" customHeight="1">
      <c r="A55" s="198"/>
      <c r="B55" s="215" t="str">
        <v>Imola Czarny matowy - maksymalna zalecana długość profilu 2500 mm</v>
      </c>
      <c r="K55" s="215" t="str">
        <v>Szeroka ALU ramka</v>
      </c>
      <c r="T55" s="215" t="str">
        <v>Hartowane (termin dostawy 4 tygodnie)</v>
      </c>
      <c r="U55" s="215">
        <v>2</v>
      </c>
      <c r="X55" s="215" t="str">
        <v>Biała</v>
      </c>
      <c r="AD55" s="215" t="e">
        <f ca="1"/>
        <v>#N/A</v>
      </c>
      <c r="AS55"/>
      <c r="AT55"/>
    </row>
    <row r="56" spans="1:46" s="215" customFormat="1" ht="14.85" hidden="1" customHeight="1">
      <c r="A56" s="198"/>
      <c r="B56" s="215" t="str">
        <v>Imola bialy matowy RAL 9003 - maksymalna zalecana długość profilu 2500 mm</v>
      </c>
      <c r="K56" s="215" t="str">
        <v>MDF grubość 16mm</v>
      </c>
      <c r="T56" s="215" t="str">
        <v>Folia</v>
      </c>
      <c r="U56" s="215">
        <v>3</v>
      </c>
      <c r="X56" s="215" t="str">
        <v>czarna</v>
      </c>
      <c r="AD56" s="215" t="e">
        <f ca="1"/>
        <v>#N/A</v>
      </c>
    </row>
    <row r="57" spans="1:46" s="215" customFormat="1" ht="14.85" hidden="1" customHeight="1">
      <c r="A57" s="198"/>
      <c r="B57" s="215" t="str">
        <v>Imola złota - maksymalna zalecana zalecana długość profilu 2150 mm</v>
      </c>
      <c r="K57" s="215" t="str">
        <v>MDF grubość 18mm</v>
      </c>
      <c r="AD57" s="215" t="e">
        <f ca="1"/>
        <v>#N/A</v>
      </c>
    </row>
    <row r="58" spans="1:46" s="215" customFormat="1" ht="14.85" hidden="1" customHeight="1">
      <c r="A58" s="198"/>
      <c r="B58" s="215" t="str">
        <v>Modena (elox.) - maksymalna zalecana długość profilu 2500 mm</v>
      </c>
      <c r="K58" s="215" t="str">
        <v>Płyta melaminowana grubość 18mm</v>
      </c>
      <c r="AD58" s="215" t="e">
        <f ca="1"/>
        <v>#N/A</v>
      </c>
    </row>
    <row r="59" spans="1:46" s="215" customFormat="1" ht="14.85" hidden="1" customHeight="1">
      <c r="A59" s="198"/>
      <c r="B59" s="215" t="str">
        <v>Modena Czarny matowy - maksymalna zalecana długość profilu 2500 mm</v>
      </c>
      <c r="T59" s="215">
        <f>IFERROR(VLOOKUP($H$21,$T$54:$U$56,2,0),0)</f>
        <v>0</v>
      </c>
      <c r="AD59" s="215" t="e">
        <f ca="1"/>
        <v>#N/A</v>
      </c>
    </row>
    <row r="60" spans="1:46" s="215" customFormat="1" ht="14.85" hidden="1" customHeight="1">
      <c r="A60" s="198"/>
      <c r="B60" s="215" t="str">
        <v>Modena czarna szczotka - maksymalna zalecana długość profilu 2500 mm</v>
      </c>
      <c r="K60" s="215" t="b">
        <f>K56=K61</f>
        <v>0</v>
      </c>
      <c r="AD60" s="215" t="e">
        <f ca="1"/>
        <v>#N/A</v>
      </c>
    </row>
    <row r="61" spans="1:46" s="215" customFormat="1" ht="14.85" hidden="1" customHeight="1">
      <c r="A61" s="198"/>
      <c r="B61" s="215" t="str">
        <v>Modena INOX (stal nierdzewna) - maksymalna zalecana długość profilu 2500 mm</v>
      </c>
      <c r="H61" s="215" t="str">
        <f>'Translate&amp;Prices&amp;Logo'!$B$186</f>
        <v>Dolne drzwi</v>
      </c>
      <c r="K61" s="215" t="str">
        <f>'Translate&amp;Prices&amp;Logo'!$B$231</f>
        <v>2 sztuki (obydwie strony)</v>
      </c>
      <c r="AD61" s="215" t="e">
        <f ca="1"/>
        <v>#N/A</v>
      </c>
    </row>
    <row r="62" spans="1:46" s="215" customFormat="1" ht="14.85" hidden="1" customHeight="1">
      <c r="A62" s="198"/>
      <c r="B62" s="215" t="str">
        <v>Pisa (elox.) - maksymalna zalecana długość profilu 2500 mm</v>
      </c>
      <c r="AD62" s="215" t="e">
        <f ca="1"/>
        <v>#N/A</v>
      </c>
    </row>
    <row r="63" spans="1:46" s="215" customFormat="1" ht="14.85" hidden="1" customHeight="1">
      <c r="A63" s="198"/>
      <c r="B63" s="215" t="str">
        <v>Pisa biały matowy RAL 9003 - maksymalna zalecana zalecana długość profilu 2500 mm</v>
      </c>
      <c r="AD63" s="215" t="e">
        <f ca="1"/>
        <v>#N/A</v>
      </c>
    </row>
    <row r="64" spans="1:46" s="215" customFormat="1" ht="14.85" hidden="1" customHeight="1">
      <c r="A64" s="198"/>
      <c r="B64" s="215" t="str">
        <v>Pisa biały połysk RAL 9003 - maksymalna zalecana zalecana długość profilu 2500 mm</v>
      </c>
      <c r="AD64" s="215" t="e">
        <f ca="1"/>
        <v>#N/A</v>
      </c>
    </row>
    <row r="65" spans="1:30" s="215" customFormat="1" ht="14.85" hidden="1" customHeight="1">
      <c r="A65" s="198"/>
      <c r="B65" s="215" t="str">
        <v>Pisa Czarny matowy - maksymalna zalecana długość profilu 2500 mm</v>
      </c>
      <c r="H65" s="74" t="str">
        <f>'rozpad závěsů bez prázdn. řádků'!$K$1</f>
        <v>krzyżakowy, wkręt</v>
      </c>
      <c r="I65" s="217">
        <v>6</v>
      </c>
      <c r="J65" s="73" t="e">
        <f>VLOOKUP($H$15,'rozpad závěsů bez prázdn. řádků'!$G$2:$X$66,I65,0)</f>
        <v>#N/A</v>
      </c>
      <c r="O65" s="215" t="str" cm="1">
        <f t="array" ref="O65:O66">IF($H$15=kombinace_2!$AB$40,_strong_vzpera_horni,IF($H$15=kombinace_2!$AB$41,_stronglift_klopna,IF($H$12='závěsy dle výklopu'!$BQ$2,$J$65:$J$71,'Translate&amp;Prices&amp;Logo'!$B$185:$B$186)))</f>
        <v>Górne drzwi</v>
      </c>
      <c r="AD65" s="215" t="e">
        <f ca="1"/>
        <v>#N/A</v>
      </c>
    </row>
    <row r="66" spans="1:30" s="215" customFormat="1" ht="14.85" hidden="1" customHeight="1">
      <c r="A66" s="198"/>
      <c r="B66" s="215" t="str">
        <v>Pisa złota - maksymalna zalecana długość profilu 2150 mm</v>
      </c>
      <c r="H66" s="74" t="str">
        <f>'rozpad závěsů bez prázdn. řádků'!$M$1</f>
        <v>na wkręt (z mimośrodem)</v>
      </c>
      <c r="I66" s="217">
        <v>8</v>
      </c>
      <c r="J66" s="73" t="e">
        <f>VLOOKUP($H$15,'rozpad závěsů bez prázdn. řádků'!$G$2:$X$66,I66,0)</f>
        <v>#N/A</v>
      </c>
      <c r="O66" s="215" t="str">
        <v>Dolne drzwi</v>
      </c>
      <c r="AD66" s="215" t="e">
        <f ca="1"/>
        <v>#N/A</v>
      </c>
    </row>
    <row r="67" spans="1:30" s="215" customFormat="1" ht="14.85" hidden="1" customHeight="1">
      <c r="A67" s="198"/>
      <c r="B67" s="215" t="str">
        <v>Rocca (elox.) - maksymalna zalecana zalecana długość profilu 2150 mm</v>
      </c>
      <c r="H67" s="74" t="str">
        <f>'rozpad závěsů bez prázdn. řádků'!$O$1</f>
        <v>krzyżakowy eurowkręt</v>
      </c>
      <c r="I67" s="217">
        <v>10</v>
      </c>
      <c r="J67" s="73" t="e">
        <f>VLOOKUP($H$15,'rozpad závěsů bez prázdn. řádků'!$G$2:$X$66,I67,0)</f>
        <v>#N/A</v>
      </c>
      <c r="AD67" s="215" t="e">
        <f ca="1"/>
        <v>#N/A</v>
      </c>
    </row>
    <row r="68" spans="1:30" s="215" customFormat="1" ht="14.85" hidden="1" customHeight="1">
      <c r="A68" s="198"/>
      <c r="B68" s="215" t="str">
        <v>Rocca czarny matowy - maksymalna zalecana zalecana długość profilu 2150 mm</v>
      </c>
      <c r="H68" s="74" t="str">
        <f>'rozpad závěsů bez prázdn. řádků'!$Q$1</f>
        <v>krzyżakowy expando</v>
      </c>
      <c r="I68" s="217">
        <v>12</v>
      </c>
      <c r="J68" s="73" t="e">
        <f>VLOOKUP($H$15,'rozpad závěsů bez prázdn. řádků'!$G$2:$X$66,I68,0)</f>
        <v>#N/A</v>
      </c>
      <c r="AD68" s="215" t="e">
        <f ca="1"/>
        <v>#N/A</v>
      </c>
    </row>
    <row r="69" spans="1:30" s="215" customFormat="1" ht="14.85" hidden="1" customHeight="1">
      <c r="A69" s="198"/>
      <c r="B69" s="215" t="str">
        <v>Verona (elox.) - maksymalna zalecana zalecana długość profilu 2500 mm</v>
      </c>
      <c r="H69" s="74" t="str">
        <f>'rozpad závěsů bez prázdn. řádků'!$S$1</f>
        <v>prosty wkręt</v>
      </c>
      <c r="I69" s="217">
        <v>14</v>
      </c>
      <c r="J69" s="73" t="e">
        <f>VLOOKUP($H$15,'rozpad závěsů bez prázdn. řádků'!$G$2:$X$66,I69,0)</f>
        <v>#N/A</v>
      </c>
      <c r="AD69" s="215" t="e">
        <f ca="1"/>
        <v>#N/A</v>
      </c>
    </row>
    <row r="70" spans="1:30" s="215" customFormat="1" ht="14.85" hidden="1" customHeight="1">
      <c r="A70" s="198"/>
      <c r="B70" s="215" t="str">
        <v>Verona szczotkowany - maksymalna zalecana zalecana długość profilu 2500 mm</v>
      </c>
      <c r="H70" s="74" t="str">
        <f>'rozpad závěsů bez prázdn. řádků'!$U$1</f>
        <v>prosty eurowkręt</v>
      </c>
      <c r="I70" s="217">
        <v>16</v>
      </c>
      <c r="J70" s="73" t="e">
        <f>VLOOKUP($H$15,'rozpad závěsů bez prázdn. řádků'!$G$2:$X$66,I70,0)</f>
        <v>#N/A</v>
      </c>
      <c r="AD70" s="215" t="e">
        <f ca="1"/>
        <v>#N/A</v>
      </c>
    </row>
    <row r="71" spans="1:30" s="215" customFormat="1" ht="14.85" hidden="1" customHeight="1">
      <c r="A71" s="198"/>
      <c r="B71" s="215" t="str">
        <v>Verona czarny matowy - maksymalna zalecana zalecana długość profilu 2500 mm</v>
      </c>
      <c r="H71" s="74" t="str">
        <f>'rozpad závěsů bez prázdn. řádků'!$W$1</f>
        <v>prosty expando</v>
      </c>
      <c r="I71" s="217">
        <v>18</v>
      </c>
      <c r="J71" s="73" t="e">
        <f>VLOOKUP($H$15,'rozpad závěsů bez prázdn. řádků'!$G$2:$X$66,I71,0)</f>
        <v>#N/A</v>
      </c>
      <c r="AD71" s="215" t="e">
        <f ca="1"/>
        <v>#N/A</v>
      </c>
    </row>
    <row r="72" spans="1:30" s="215" customFormat="1" ht="14.85" hidden="1" customHeight="1">
      <c r="A72" s="198"/>
      <c r="B72" s="215" t="str">
        <v>Verona czarny połysk - maksymalna zalecana zalecana długość profilu 2500 mm</v>
      </c>
      <c r="AD72" s="215" t="e">
        <f ca="1"/>
        <v>#N/A</v>
      </c>
    </row>
    <row r="73" spans="1:30" s="215" customFormat="1" ht="14.85" hidden="1" customHeight="1">
      <c r="A73" s="198"/>
      <c r="B73" s="215" t="str">
        <v>Verona braz - maksymalna zalecana zalecana długość profilu 2500 mm</v>
      </c>
      <c r="AD73" s="215" t="e">
        <f ca="1"/>
        <v>#N/A</v>
      </c>
    </row>
    <row r="74" spans="1:30" s="215" customFormat="1" ht="14.85" hidden="1" customHeight="1">
      <c r="A74" s="198"/>
      <c r="B74" s="215" t="str">
        <v>Verona szampański - maksymalna zalecana zalecana długość profilu 2500 mm</v>
      </c>
      <c r="AD74" s="215" t="e">
        <f ca="1"/>
        <v>#N/A</v>
      </c>
    </row>
    <row r="75" spans="1:30" s="215" customFormat="1" ht="14.85" hidden="1" customHeight="1">
      <c r="A75" s="198"/>
      <c r="B75" s="215" t="str">
        <v>Verona Inox szczotkowany - maksymalna zalecana zalecana długość profilu 2500 mm</v>
      </c>
      <c r="AD75" s="215" t="e">
        <f ca="1"/>
        <v>#N/A</v>
      </c>
    </row>
    <row r="76" spans="1:30" s="215" customFormat="1" ht="14.85" hidden="1" customHeight="1">
      <c r="A76" s="198"/>
      <c r="B76" s="215" t="str">
        <v>Verona Inox Acier szczotkowany - maksymalna zalecana zalecana długość profilu 2500 mm</v>
      </c>
      <c r="AD76" s="215" t="e">
        <f ca="1"/>
        <v>#N/A</v>
      </c>
    </row>
    <row r="77" spans="1:30" s="215" customFormat="1" ht="14.85" hidden="1" customHeight="1">
      <c r="A77" s="198"/>
      <c r="B77" s="215" t="str">
        <v>Verona złota - maksymalna zalecana długość profilu 2150 mm</v>
      </c>
      <c r="AD77" s="215" t="e">
        <f ca="1"/>
        <v>#N/A</v>
      </c>
    </row>
    <row r="78" spans="1:30" s="215" customFormat="1" ht="14.85" hidden="1" customHeight="1">
      <c r="A78" s="198"/>
      <c r="B78" s="215" t="str">
        <v>Verona złota szczotkowany - maksymalna zalecana zalecana długość profilu 2150 mm</v>
      </c>
      <c r="AD78" s="215" t="e">
        <f ca="1"/>
        <v>#N/A</v>
      </c>
    </row>
    <row r="79" spans="1:30" s="215" customFormat="1" ht="14.85" hidden="1" customHeight="1">
      <c r="A79" s="198"/>
      <c r="B79" s="215" t="str">
        <v>Vivaro (elox.) - maksymalna zalecana zalecana długość profilu 2500 mm</v>
      </c>
      <c r="AD79" s="215" t="e">
        <f ca="1"/>
        <v>#N/A</v>
      </c>
    </row>
    <row r="80" spans="1:30" s="215" customFormat="1" ht="14.85" hidden="1" customHeight="1">
      <c r="A80" s="198"/>
      <c r="B80" s="215" t="str">
        <v>Vivaro czarny matowy - maksymalna zalecana zalecana długość profilu 2500 mm</v>
      </c>
      <c r="AD80" s="215" t="e">
        <f ca="1"/>
        <v>#N/A</v>
      </c>
    </row>
    <row r="81" spans="1:38" s="215" customFormat="1" ht="14.85" hidden="1" customHeight="1">
      <c r="A81" s="198"/>
      <c r="B81" s="215" t="str">
        <v>Vivaro INOX (stal nierdzewna) - maksymalna zalecana zalecana długość profilu 2500 mm</v>
      </c>
      <c r="AD81" s="215" t="e">
        <f ca="1"/>
        <v>#N/A</v>
      </c>
    </row>
    <row r="82" spans="1:38" s="215" customFormat="1" ht="14.85" hidden="1" customHeight="1">
      <c r="A82" s="198"/>
      <c r="B82" s="215" t="str">
        <v>Vivaro biały matowy RAL 9003 - maksymalna zalecana zalecana długość profilu 2500 mm</v>
      </c>
      <c r="P82" s="215" t="str">
        <f>IF(OR(H8=kombinace_1!F18,H8=kombinace_1!F19,H8=kombinace_1!A55,H8=kombinace_1!A56,H8=kombinace_1!A57,H8=kombinace_1!A58),"_2_strany",IF(H15=kombinace_1!AB8,"_ramena_HL","_4_strany"))</f>
        <v>_4_strany</v>
      </c>
      <c r="AD82" s="215" t="e">
        <f ca="1"/>
        <v>#N/A</v>
      </c>
    </row>
    <row r="83" spans="1:38" ht="14.85" hidden="1" customHeight="1">
      <c r="B83" s="196" t="str">
        <v>Vivaro biały połysk RAL 9003 - maksymalna zalecana zalecana długość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e">
        <f ca="1"/>
        <v>#N/A</v>
      </c>
      <c r="AE83" s="206"/>
      <c r="AF83" s="206"/>
      <c r="AG83" s="206"/>
      <c r="AH83" s="206"/>
      <c r="AI83" s="208"/>
      <c r="AJ83" s="208"/>
      <c r="AK83" s="208"/>
      <c r="AL83" s="208"/>
    </row>
    <row r="84" spans="1:38" ht="14.85" hidden="1" customHeight="1">
      <c r="B84" s="196" t="str">
        <v>Vivaro złota - maksymalna zalecana zalecana długość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e">
        <f ca="1"/>
        <v>#N/A</v>
      </c>
      <c r="AE84" s="206"/>
      <c r="AF84" s="206"/>
      <c r="AG84" s="206"/>
      <c r="AH84" s="206"/>
      <c r="AI84" s="208"/>
      <c r="AJ84" s="208"/>
      <c r="AK84" s="208"/>
      <c r="AL84" s="208"/>
    </row>
    <row r="85" spans="1:38" ht="14.85" hidden="1" customHeight="1">
      <c r="B85" s="196" t="str">
        <v>Vivaro złota szczotkowany - maksymalna zalecana zalecana długość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e">
        <f ca="1"/>
        <v>#N/A</v>
      </c>
      <c r="AE85" s="206"/>
      <c r="AF85" s="206"/>
      <c r="AG85" s="206"/>
      <c r="AH85" s="206"/>
      <c r="AI85" s="208"/>
      <c r="AJ85" s="208"/>
      <c r="AK85" s="208"/>
      <c r="AL85" s="208"/>
    </row>
    <row r="86" spans="1:38" ht="14.85" hidden="1" customHeight="1">
      <c r="B86" s="196" t="str">
        <v>Rocca elox (lewa i prawa) + Varna elox (góra i dół)</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e">
        <f ca="1"/>
        <v>#N/A</v>
      </c>
      <c r="AE86" s="206"/>
      <c r="AF86" s="206"/>
      <c r="AG86" s="206"/>
      <c r="AH86" s="206"/>
      <c r="AI86" s="208"/>
      <c r="AJ86" s="208"/>
      <c r="AK86" s="208"/>
      <c r="AL86" s="208"/>
    </row>
    <row r="87" spans="1:38" ht="14.85" hidden="1" customHeight="1">
      <c r="B87" s="196" t="str">
        <v>Rocca czarny (lewa i prawa) + Varna czarny (góra i dół)</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e">
        <f ca="1"/>
        <v>#N/A</v>
      </c>
      <c r="AE87" s="206"/>
      <c r="AF87" s="206"/>
      <c r="AG87" s="206"/>
      <c r="AH87" s="206"/>
      <c r="AI87" s="208"/>
      <c r="AJ87" s="208"/>
      <c r="AK87" s="208"/>
      <c r="AL87" s="208"/>
    </row>
    <row r="88" spans="1:38" ht="14.85" hidden="1" customHeight="1">
      <c r="B88" s="196" t="str">
        <v>ROMA czarna matowa -  maksymalna zalecana długość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e">
        <f ca="1"/>
        <v>#N/A</v>
      </c>
      <c r="AE88" s="206"/>
      <c r="AF88" s="206"/>
      <c r="AG88" s="206"/>
      <c r="AH88" s="206"/>
      <c r="AI88" s="208"/>
      <c r="AJ88" s="208"/>
      <c r="AK88" s="208"/>
      <c r="AL88" s="208"/>
    </row>
    <row r="89" spans="1:38" ht="14.85" hidden="1" customHeight="1">
      <c r="B89" s="196" t="str">
        <v>ROMA champagne mat - maksymalna zalecana długość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e">
        <f ca="1"/>
        <v>#N/A</v>
      </c>
      <c r="AE89" s="206"/>
      <c r="AF89" s="206"/>
      <c r="AG89" s="206"/>
      <c r="AH89" s="206"/>
      <c r="AI89" s="208"/>
      <c r="AJ89" s="208"/>
      <c r="AK89" s="208"/>
      <c r="AL89" s="208"/>
    </row>
    <row r="90" spans="1:38" ht="14.85" hidden="1" customHeight="1">
      <c r="B90" s="196" t="str">
        <v>ROMA GRIP czarna matowa - maksymalna zalecana długość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e">
        <f ca="1"/>
        <v>#N/A</v>
      </c>
      <c r="AE90" s="206"/>
      <c r="AF90" s="206"/>
      <c r="AG90" s="206"/>
      <c r="AH90" s="206"/>
      <c r="AI90" s="208"/>
      <c r="AJ90" s="208"/>
      <c r="AK90" s="208"/>
      <c r="AL90" s="208"/>
    </row>
    <row r="91" spans="1:38" ht="14.85" hidden="1" customHeight="1">
      <c r="B91" s="196" t="str">
        <v>ROMA GRIP champagne mat - maksymalna zalecana długość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e">
        <f ca="1"/>
        <v>#N/A</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e">
        <f ca="1"/>
        <v>#N/A</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e">
        <f ca="1"/>
        <v>#N/A</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e">
        <f ca="1"/>
        <v>#N/A</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e">
        <f ca="1"/>
        <v>#N/A</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e">
        <f ca="1"/>
        <v>#N/A</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e">
        <f ca="1"/>
        <v>#N/A</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BMYt+ePPBLNnmf9OtW5OEuLCgpyeG85v1VkPia7qKVIyG/0TpGdOxDzBy1RxAbYrrjDLBacwaDonoaKFLjqRJg==" saltValue="l88N1KZ19ZBMJP9c3Z3gMQ==" spinCount="100000" sheet="1" objects="1" scenarios="1"/>
  <protectedRanges>
    <protectedRange sqref="G7 I7:R7" name="Oblast1"/>
  </protectedRanges>
  <mergeCells count="99">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 ref="AP47:AQ47"/>
    <mergeCell ref="R33:S33"/>
    <mergeCell ref="R34:S34"/>
    <mergeCell ref="V34:W34"/>
    <mergeCell ref="AN47:AO47"/>
    <mergeCell ref="AC8:AG8"/>
    <mergeCell ref="S10:Y12"/>
    <mergeCell ref="M11:Q11"/>
    <mergeCell ref="S8:Y9"/>
    <mergeCell ref="AF9:AK9"/>
    <mergeCell ref="AD10:AD12"/>
    <mergeCell ref="AE10:AE16"/>
    <mergeCell ref="AD14:AD21"/>
    <mergeCell ref="AB19:AC19"/>
    <mergeCell ref="S18:Y23"/>
    <mergeCell ref="AJ7:AJ8"/>
    <mergeCell ref="S7:U7"/>
    <mergeCell ref="AC9:AD9"/>
    <mergeCell ref="BI3:BM3"/>
    <mergeCell ref="B5:D5"/>
    <mergeCell ref="F5:H5"/>
    <mergeCell ref="J5:L5"/>
    <mergeCell ref="N5:P5"/>
    <mergeCell ref="R5:T5"/>
    <mergeCell ref="AB4:AN5"/>
    <mergeCell ref="V5:X5"/>
    <mergeCell ref="A2:AJ3"/>
    <mergeCell ref="AP2:AS3"/>
    <mergeCell ref="BD3:BH3"/>
    <mergeCell ref="AM14:AM21"/>
    <mergeCell ref="AN19:AO19"/>
    <mergeCell ref="H17:Q17"/>
    <mergeCell ref="B21:F21"/>
    <mergeCell ref="B20:E20"/>
    <mergeCell ref="F20:I20"/>
    <mergeCell ref="H21:Q21"/>
    <mergeCell ref="H14:Q14"/>
    <mergeCell ref="B19:F19"/>
    <mergeCell ref="B14:F14"/>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B12:F12"/>
    <mergeCell ref="B25:F25"/>
    <mergeCell ref="H25:Q25"/>
    <mergeCell ref="B7:F7"/>
    <mergeCell ref="B9:F9"/>
    <mergeCell ref="H9:Q9"/>
    <mergeCell ref="H10:L10"/>
    <mergeCell ref="H12:Q12"/>
    <mergeCell ref="H8:Q8"/>
    <mergeCell ref="G7:Q7"/>
    <mergeCell ref="H11:L11"/>
    <mergeCell ref="M10:Q10"/>
    <mergeCell ref="B11:F11"/>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s>
  <conditionalFormatting sqref="B5 F5 J5 N5 R5 V5">
    <cfRule type="cellIs" dxfId="767" priority="24" operator="equal">
      <formula>$A$2</formula>
    </cfRule>
  </conditionalFormatting>
  <conditionalFormatting sqref="B16:I16">
    <cfRule type="expression" dxfId="766" priority="45">
      <formula>$AU$19=0</formula>
    </cfRule>
  </conditionalFormatting>
  <conditionalFormatting sqref="B9:Q9">
    <cfRule type="expression" dxfId="765" priority="30">
      <formula>$B$9=0</formula>
    </cfRule>
  </conditionalFormatting>
  <conditionalFormatting sqref="B11:Q11">
    <cfRule type="expression" dxfId="764" priority="44">
      <formula>$AU$10=0</formula>
    </cfRule>
  </conditionalFormatting>
  <conditionalFormatting sqref="B14:Q14">
    <cfRule type="expression" dxfId="763" priority="29">
      <formula>$B$14=0</formula>
    </cfRule>
  </conditionalFormatting>
  <conditionalFormatting sqref="B17:Q17">
    <cfRule type="expression" dxfId="762" priority="28">
      <formula>$B$17=0</formula>
    </cfRule>
  </conditionalFormatting>
  <conditionalFormatting sqref="B18:Q18">
    <cfRule type="expression" dxfId="761" priority="14" stopIfTrue="1">
      <formula>$B$18=0</formula>
    </cfRule>
    <cfRule type="expression" dxfId="760" priority="17">
      <formula>$F$16=$H$61</formula>
    </cfRule>
  </conditionalFormatting>
  <conditionalFormatting sqref="B19:Q19">
    <cfRule type="expression" dxfId="759" priority="27">
      <formula>$B$19=0</formula>
    </cfRule>
  </conditionalFormatting>
  <conditionalFormatting sqref="B20:Q20">
    <cfRule type="expression" dxfId="758" priority="26">
      <formula>$B$19=0</formula>
    </cfRule>
    <cfRule type="expression" dxfId="757" priority="25">
      <formula>$B$20=0</formula>
    </cfRule>
  </conditionalFormatting>
  <conditionalFormatting sqref="B21:Q21">
    <cfRule type="expression" dxfId="756" priority="6">
      <formula>$B$21=" "</formula>
    </cfRule>
  </conditionalFormatting>
  <conditionalFormatting sqref="B24:Q24">
    <cfRule type="expression" dxfId="755" priority="19" stopIfTrue="1">
      <formula>$T$59&lt;3</formula>
    </cfRule>
  </conditionalFormatting>
  <conditionalFormatting sqref="H23">
    <cfRule type="expression" dxfId="754" priority="31">
      <formula>$H$25&gt;0</formula>
    </cfRule>
  </conditionalFormatting>
  <conditionalFormatting sqref="H10:L11">
    <cfRule type="expression" dxfId="753" priority="23">
      <formula>$AU$10=2</formula>
    </cfRule>
  </conditionalFormatting>
  <conditionalFormatting sqref="H10:Q10">
    <cfRule type="expression" dxfId="752" priority="22">
      <formula>$AU$10=0</formula>
    </cfRule>
  </conditionalFormatting>
  <conditionalFormatting sqref="H22:Q22 B22:G23">
    <cfRule type="expression" dxfId="751" priority="20">
      <formula>$AS$33=1</formula>
    </cfRule>
  </conditionalFormatting>
  <conditionalFormatting sqref="J16:M16">
    <cfRule type="expression" dxfId="750" priority="16" stopIfTrue="1">
      <formula>$K$60=TRUE</formula>
    </cfRule>
  </conditionalFormatting>
  <conditionalFormatting sqref="J16:N16">
    <cfRule type="expression" dxfId="749" priority="18" stopIfTrue="1">
      <formula>$AV$19=0</formula>
    </cfRule>
  </conditionalFormatting>
  <conditionalFormatting sqref="M10:Q11">
    <cfRule type="expression" dxfId="748" priority="21">
      <formula>$AU$10=1</formula>
    </cfRule>
  </conditionalFormatting>
  <conditionalFormatting sqref="N16:Q16">
    <cfRule type="expression" dxfId="747" priority="15" stopIfTrue="1">
      <formula>$K$60=TRUE</formula>
    </cfRule>
  </conditionalFormatting>
  <conditionalFormatting sqref="P29:Q29">
    <cfRule type="expression" dxfId="746" priority="1">
      <formula>$U$41=2</formula>
    </cfRule>
  </conditionalFormatting>
  <conditionalFormatting sqref="AA9:AA10 AA24:AA25">
    <cfRule type="expression" dxfId="745" priority="10" stopIfTrue="1">
      <formula>$AU$17=1</formula>
    </cfRule>
  </conditionalFormatting>
  <conditionalFormatting sqref="AA16:AA17">
    <cfRule type="expression" dxfId="744" priority="5" stopIfTrue="1">
      <formula>$AU$24="1_3"</formula>
    </cfRule>
  </conditionalFormatting>
  <conditionalFormatting sqref="AB6 AA6:AA7 AA27 AA28:AB28">
    <cfRule type="expression" dxfId="743" priority="4" stopIfTrue="1">
      <formula>$AV$17=1</formula>
    </cfRule>
  </conditionalFormatting>
  <conditionalFormatting sqref="AB29:AO29">
    <cfRule type="cellIs" dxfId="742" priority="2" operator="equal">
      <formula>0</formula>
    </cfRule>
  </conditionalFormatting>
  <conditionalFormatting sqref="AC6:AD6 AM6:AN6">
    <cfRule type="expression" dxfId="741" priority="12" stopIfTrue="1">
      <formula>$AU$17=3</formula>
    </cfRule>
  </conditionalFormatting>
  <conditionalFormatting sqref="AC25:AD25 AJ26:AJ27">
    <cfRule type="expression" dxfId="740" priority="39">
      <formula>$AU$25=4</formula>
    </cfRule>
  </conditionalFormatting>
  <conditionalFormatting sqref="AC28:AD28 AM28:AN28">
    <cfRule type="expression" dxfId="739" priority="11" stopIfTrue="1">
      <formula>$AU$17=4</formula>
    </cfRule>
  </conditionalFormatting>
  <conditionalFormatting sqref="AC8:AG8">
    <cfRule type="expression" dxfId="738" priority="43">
      <formula>$AU$25=3</formula>
    </cfRule>
  </conditionalFormatting>
  <conditionalFormatting sqref="AC24:AG24">
    <cfRule type="expression" dxfId="737" priority="40">
      <formula>$AU$25=4</formula>
    </cfRule>
  </conditionalFormatting>
  <conditionalFormatting sqref="AD10:AD12 AB19:AC19">
    <cfRule type="expression" dxfId="736" priority="33">
      <formula>$AU$25=1</formula>
    </cfRule>
  </conditionalFormatting>
  <conditionalFormatting sqref="AD14:AD21">
    <cfRule type="expression" dxfId="735" priority="32">
      <formula>$AU$25=1</formula>
    </cfRule>
  </conditionalFormatting>
  <conditionalFormatting sqref="AE10:AE16">
    <cfRule type="expression" dxfId="734" priority="41">
      <formula>$AU$25=1</formula>
    </cfRule>
  </conditionalFormatting>
  <conditionalFormatting sqref="AF9:AK9">
    <cfRule type="expression" dxfId="733" priority="36">
      <formula>$AU$25=3</formula>
    </cfRule>
  </conditionalFormatting>
  <conditionalFormatting sqref="AF25:AK25">
    <cfRule type="expression" dxfId="732" priority="38">
      <formula>$AU$25=4</formula>
    </cfRule>
  </conditionalFormatting>
  <conditionalFormatting sqref="AG6:AH6">
    <cfRule type="expression" dxfId="731" priority="8" stopIfTrue="1">
      <formula>$AU$24="3_3"</formula>
    </cfRule>
  </conditionalFormatting>
  <conditionalFormatting sqref="AG28:AH28">
    <cfRule type="expression" dxfId="730" priority="7" stopIfTrue="1">
      <formula>$AU$24="4_3"</formula>
    </cfRule>
  </conditionalFormatting>
  <conditionalFormatting sqref="AJ7:AJ8 AC9:AD9">
    <cfRule type="expression" dxfId="729" priority="37">
      <formula>$AU$25=3</formula>
    </cfRule>
  </conditionalFormatting>
  <conditionalFormatting sqref="AL19:AL25">
    <cfRule type="expression" dxfId="728" priority="42">
      <formula>$AU$25=2</formula>
    </cfRule>
  </conditionalFormatting>
  <conditionalFormatting sqref="AM14:AM21">
    <cfRule type="expression" dxfId="727" priority="34">
      <formula>$AU$25=2</formula>
    </cfRule>
  </conditionalFormatting>
  <conditionalFormatting sqref="AN19:AO19 AM23:AM25">
    <cfRule type="expression" dxfId="726" priority="35">
      <formula>$AU$25=2</formula>
    </cfRule>
  </conditionalFormatting>
  <conditionalFormatting sqref="AO6 AP6:AP7 AP27 AO28:AP28">
    <cfRule type="expression" dxfId="725" priority="3" stopIfTrue="1">
      <formula>$AV$17=2</formula>
    </cfRule>
  </conditionalFormatting>
  <conditionalFormatting sqref="AP9:AP10 AP24:AP25">
    <cfRule type="expression" dxfId="724" priority="9" stopIfTrue="1">
      <formula>$AU$17=2</formula>
    </cfRule>
  </conditionalFormatting>
  <conditionalFormatting sqref="AP16:AP17">
    <cfRule type="expression" dxfId="723" priority="13" stopIfTrue="1">
      <formula>$AU$24="2_3"</formula>
    </cfRule>
  </conditionalFormatting>
  <dataValidations count="20">
    <dataValidation type="whole" allowBlank="1" showInputMessage="1" showErrorMessage="1" sqref="H11:L11" xr:uid="{25B885BF-B814-42FF-A7D1-58D3CB458216}">
      <formula1>1</formula1>
      <formula2>(AR14/100)-1</formula2>
    </dataValidation>
    <dataValidation type="whole" allowBlank="1" showInputMessage="1" showErrorMessage="1" sqref="M11:Q11" xr:uid="{DCC002EE-3D2C-425B-9249-D41C61065CE9}">
      <formula1>1</formula1>
      <formula2>(AI30/100)-1</formula2>
    </dataValidation>
    <dataValidation type="whole" allowBlank="1" showInputMessage="1" showErrorMessage="1" errorTitle="Minimum 80 mm" sqref="F20:I20 N20:Q20" xr:uid="{ACCDC508-B126-45C3-8049-A78E1636332C}">
      <formula1>80</formula1>
      <formula2>1300</formula2>
    </dataValidation>
    <dataValidation type="whole" operator="greaterThanOrEqual" allowBlank="1" showInputMessage="1" showErrorMessage="1" sqref="H26:Q26" xr:uid="{AF7DF0C6-9A01-47F5-B102-6F4B8549143E}">
      <formula1>1</formula1>
    </dataValidation>
    <dataValidation type="list" allowBlank="1" showInputMessage="1" showErrorMessage="1" sqref="H12:Q12" xr:uid="{BA6A1DA1-842A-46DC-A010-3683AB46253E}">
      <formula1>$L$36:$M$36</formula1>
    </dataValidation>
    <dataValidation type="list" allowBlank="1" showInputMessage="1" showErrorMessage="1" sqref="H24:Q24" xr:uid="{DBF5E868-C282-4255-BB8C-1AE17DF78443}">
      <formula1>$X$54:$X$56</formula1>
    </dataValidation>
    <dataValidation type="list" allowBlank="1" showInputMessage="1" showErrorMessage="1" sqref="H21:Q21" xr:uid="{11BE3BBE-0BDF-46F8-8AA0-A8C49F780271}">
      <formula1>$T$54:$T$56</formula1>
    </dataValidation>
    <dataValidation type="list" allowBlank="1" showInputMessage="1" showErrorMessage="1" sqref="H14:Q14" xr:uid="{78B23551-8376-4335-96AE-FC1B2A2F6F00}">
      <formula1>$P$36:$P$38</formula1>
    </dataValidation>
    <dataValidation type="list" allowBlank="1" showInputMessage="1" showErrorMessage="1" sqref="H19:Q19" xr:uid="{9248F489-6D0C-41E1-BB34-507652FF92B4}">
      <formula1>IF(H13="Salice",$AJ$36,($AJ$36:$AJ$40))</formula1>
    </dataValidation>
    <dataValidation type="list" allowBlank="1" showInputMessage="1" showErrorMessage="1" sqref="H18:Q18" xr:uid="{D490DA96-8699-46B6-9F11-29936B3D157C}">
      <formula1>$AF$36:$AF$41</formula1>
    </dataValidation>
    <dataValidation type="list" allowBlank="1" showInputMessage="1" showErrorMessage="1" sqref="N16:Q16" xr:uid="{975A7CAB-F10D-4CA2-A6EA-46671744D12E}">
      <formula1>$K$54:$K$58</formula1>
    </dataValidation>
    <dataValidation type="list" allowBlank="1" showInputMessage="1" showErrorMessage="1" sqref="H13:Q13" xr:uid="{4E87E992-C344-4D42-93F6-7294A4A56552}">
      <formula1>IF(M38="Salice",$L$38,$L$38:$L$42)</formula1>
    </dataValidation>
    <dataValidation type="list" allowBlank="1" showInputMessage="1" showErrorMessage="1" sqref="H15:Q15" xr:uid="{0239D03A-C058-4272-8659-9D6DD51ED677}">
      <formula1>$T$36:$T$44</formula1>
    </dataValidation>
    <dataValidation type="list" allowBlank="1" showInputMessage="1" showErrorMessage="1" sqref="F16:I16" xr:uid="{95AE4117-2B19-4A13-9110-6ABBFA341AEA}">
      <formula1>$O$65:$O$84</formula1>
    </dataValidation>
    <dataValidation type="list" allowBlank="1" showInputMessage="1" showErrorMessage="1" sqref="H17:Q17" xr:uid="{38DD3812-C9A2-486C-A54E-DCC68CB6F7EE}">
      <formula1>INDIRECT($P$82)</formula1>
    </dataValidation>
    <dataValidation type="whole" operator="lessThan" showInputMessage="1" showErrorMessage="1" sqref="AI30:AK30" xr:uid="{3A5C448A-20F7-4D4F-915F-A83AE6A6D342}">
      <formula1>IF(AR14&lt;AI43+1,AJ43+1,AI43+1)</formula1>
    </dataValidation>
    <dataValidation type="whole" operator="lessThan" showErrorMessage="1" sqref="AR14:AR18" xr:uid="{44093C5C-317B-48DD-ABA6-375C798EC55D}">
      <formula1>IF(AI30&lt;AI43+1,AJ43+1,AI43+1)</formula1>
    </dataValidation>
    <dataValidation type="list" allowBlank="1" showInputMessage="1" showErrorMessage="1" sqref="P29:Q29" xr:uid="{05F6C23C-279F-419E-9F08-A6ACA22BCC77}">
      <formula1>$W$37:$W$38</formula1>
    </dataValidation>
    <dataValidation type="list" allowBlank="1" showInputMessage="1" showErrorMessage="1" sqref="H25:Q25" xr:uid="{C45ECA1C-26D2-4AC7-A13E-804CFE06E508}">
      <formula1>$AD$54:$AD$97</formula1>
    </dataValidation>
    <dataValidation type="list" allowBlank="1" showInputMessage="1" showErrorMessage="1" sqref="H8:Q8" xr:uid="{C8794D6A-AE1A-4584-B4F5-A0EBA6B78B2B}">
      <formula1>B36:B91</formula1>
    </dataValidation>
  </dataValidations>
  <hyperlinks>
    <hyperlink ref="AP2:AS3" location="Hlavní!A1" display="Hlavní!A1" xr:uid="{0DA6ECE9-C269-4F89-947C-3324FFE4AF74}"/>
    <hyperlink ref="F5:H5" location="Ram_2!A1" display="Ram_2!A1" xr:uid="{D3E1079C-F6AB-4BDF-9DB1-F6C3C918EEC7}"/>
    <hyperlink ref="N5:P5" location="Ram_4!A1" display="Ram_4!A1" xr:uid="{29BEFC4C-2088-439A-9520-874958A8E6C8}"/>
    <hyperlink ref="R5:T5" location="Ram_5!A1" display="Ram_5!A1" xr:uid="{EC7BE8C9-F38E-43A7-8375-1020190553CD}"/>
    <hyperlink ref="V5:X5" location="Ram_6!A1" display="Ram_6!A1" xr:uid="{AD0D6138-451F-4353-ABD7-B7993A3F2C3F}"/>
    <hyperlink ref="B5:D5" location="Ram_1!A1" display="Ram_1!A1" xr:uid="{C0BD3001-29B7-4E12-AF25-5546A2805CE7}"/>
    <hyperlink ref="AO31:AR32" location="_souhrn!A1" display="_souhrn!A1" xr:uid="{92AA4579-3B90-4CAC-AB31-06DA04287D5C}"/>
    <hyperlink ref="J5:L5" location="Ram_3!A1" display="Ram_3!A1" xr:uid="{2542C438-2E96-41C2-9A0C-AA6470D6F61B}"/>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5227D608-EBE1-4472-B235-26170621A597}">
          <x14:formula1>
            <xm:f>'závěsy dle výklopu'!$BW$2:$BW$5</xm:f>
          </x14:formula1>
          <xm:sqref>H27:Q27</xm:sqref>
        </x14:dataValidation>
        <x14:dataValidation type="list" allowBlank="1" showInputMessage="1" showErrorMessage="1" xr:uid="{8558AA8E-C736-45C0-A6FF-57570312EE7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116" width="7.85546875"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v>
      </c>
      <c r="Q1" s="231" t="s">
        <v>1083</v>
      </c>
      <c r="R1" s="2" t="e">
        <f>VLOOKUP(Ram_2!H8,kombinace_2!$A$3:$C$75,3,0)</f>
        <v>#N/A</v>
      </c>
      <c r="S1" t="e">
        <f>CONCATENATE("_",R1,V1)</f>
        <v>#N/A</v>
      </c>
      <c r="U1" s="231" t="s">
        <v>1082</v>
      </c>
      <c r="V1" s="2">
        <f>IFERROR(VLOOKUP(Ram_2!H21,$EN$3:$EO$5,2,0),1)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CONCATENATE("_",Ram_2!H12,"_",Ram_2!H13)</f>
        <v>__</v>
      </c>
      <c r="BV2" t="s">
        <v>1100</v>
      </c>
      <c r="BW2" t="s">
        <v>1095</v>
      </c>
      <c r="BY2" t="s">
        <v>112</v>
      </c>
      <c r="CA2" t="s">
        <v>1127</v>
      </c>
      <c r="CD2" t="s">
        <v>1202</v>
      </c>
      <c r="CF2" t="s">
        <v>1447</v>
      </c>
      <c r="DN2" t="str">
        <f>'Translate&amp;Prices&amp;Logo'!B553</f>
        <v>Nakładany</v>
      </c>
      <c r="DP2" t="str">
        <f>'Translate&amp;Prices&amp;Logo'!$B$551</f>
        <v>Zawiasy</v>
      </c>
      <c r="DQ2">
        <v>2</v>
      </c>
      <c r="ED2" t="s">
        <v>1770</v>
      </c>
      <c r="EE2" t="s">
        <v>1864</v>
      </c>
      <c r="ER2" t="s">
        <v>2278</v>
      </c>
      <c r="ES2" t="s">
        <v>2283</v>
      </c>
      <c r="EV2">
        <v>2</v>
      </c>
      <c r="EW2" t="s">
        <v>2300</v>
      </c>
      <c r="EY2" s="271" t="str">
        <f>'Translate&amp;Prices&amp;Logo'!B164</f>
        <v>siatka alu złota - oko 10x6x1 mm</v>
      </c>
      <c r="FA2" s="75" t="str">
        <f>'Translate&amp;Prices&amp;Logo'!B644</f>
        <v>520405 SALICE AIR SOFT zawiasy niklowe o kącie otwarcia 92° kpl. 2 szt</v>
      </c>
      <c r="FC2" t="b">
        <v>0</v>
      </c>
    </row>
    <row r="3" spans="1:160">
      <c r="A3" t="str">
        <f>'Translate&amp;Prices&amp;Logo'!$B$6</f>
        <v>BRW (elox.) - maksymalna zalecana długość profilu 2500 mm</v>
      </c>
      <c r="B3">
        <v>1</v>
      </c>
      <c r="C3" t="s">
        <v>662</v>
      </c>
      <c r="D3">
        <v>1</v>
      </c>
      <c r="F3" t="s">
        <v>1036</v>
      </c>
      <c r="G3" t="s">
        <v>384</v>
      </c>
      <c r="H3" t="s">
        <v>1037</v>
      </c>
      <c r="I3">
        <v>1</v>
      </c>
      <c r="J3">
        <v>2</v>
      </c>
      <c r="K3" t="s">
        <v>662</v>
      </c>
      <c r="M3" t="s">
        <v>1038</v>
      </c>
      <c r="N3" t="s">
        <v>556</v>
      </c>
      <c r="X3" t="str">
        <f>'Translate&amp;Prices&amp;Logo'!$B$563</f>
        <v>transparentna</v>
      </c>
      <c r="Y3">
        <v>1</v>
      </c>
      <c r="AA3" t="s">
        <v>2204</v>
      </c>
      <c r="AB3" t="s">
        <v>1095</v>
      </c>
      <c r="AF3" t="s">
        <v>107</v>
      </c>
      <c r="AG3" t="s">
        <v>2514</v>
      </c>
      <c r="AY3" t="s">
        <v>1070</v>
      </c>
      <c r="BK3" t="s">
        <v>107</v>
      </c>
      <c r="BU3" t="e">
        <f>VLOOKUP(BU2,BV:BW,2,0)</f>
        <v>#N/A</v>
      </c>
      <c r="BV3" t="s">
        <v>1103</v>
      </c>
      <c r="BW3" t="s">
        <v>1099</v>
      </c>
      <c r="BY3" t="str">
        <f>'Translate&amp;Prices&amp;Logo'!$B$230</f>
        <v>W lewo</v>
      </c>
      <c r="BZ3">
        <v>1</v>
      </c>
      <c r="CA3">
        <v>32</v>
      </c>
      <c r="CD3" t="s">
        <v>2511</v>
      </c>
      <c r="CE3">
        <v>1</v>
      </c>
      <c r="CF3">
        <v>1</v>
      </c>
      <c r="DN3" t="e">
        <f>IF(OR(Ram_2!$H$13&amp;Ram_2!$AU$7=Ram_2!$M$44,
Ram_2!$H$13&amp;Ram_2!$AU$7=Ram_2!$M$45,
Ram_2!$H$13&amp;Ram_2!$AU$7=Ram_2!$M$46,
Ram_2!$H$13&amp;Ram_2!$AU$7=Ram_2!$M$47),
'Translate&amp;Prices&amp;Logo'!B657,'Translate&amp;Prices&amp;Logo'!B554)</f>
        <v>#N/A</v>
      </c>
      <c r="DP3" t="str">
        <f>'Translate&amp;Prices&amp;Logo'!$B$552</f>
        <v>Podnośniki</v>
      </c>
      <c r="DQ3">
        <v>3</v>
      </c>
      <c r="ED3" t="s">
        <v>1771</v>
      </c>
      <c r="EE3" t="s">
        <v>1865</v>
      </c>
      <c r="EJ3">
        <v>1</v>
      </c>
      <c r="EK3" t="s">
        <v>115</v>
      </c>
      <c r="EN3" t="str">
        <f>'Translate&amp;Prices&amp;Logo'!B638</f>
        <v>Bez modyfikacji</v>
      </c>
      <c r="EO3">
        <v>1</v>
      </c>
      <c r="ER3" t="s">
        <v>2276</v>
      </c>
      <c r="ES3" t="s">
        <v>2284</v>
      </c>
      <c r="EV3">
        <v>3</v>
      </c>
      <c r="EW3" t="s">
        <v>2301</v>
      </c>
      <c r="EY3" s="271" t="str">
        <f>'Translate&amp;Prices&amp;Logo'!B165</f>
        <v>siatka stal czarny mat RAL 9005– oko 8x4x1 mm</v>
      </c>
      <c r="FA3" s="75" t="str">
        <f>'Translate&amp;Prices&amp;Logo'!B645</f>
        <v>520406 SALICE AIR PUSH TO OPEN zawiasy niklowe z zestawem adapterów 2 szt</v>
      </c>
    </row>
    <row r="4" spans="1:160">
      <c r="A4" t="str">
        <f>'Translate&amp;Prices&amp;Logo'!$B$8</f>
        <v>BRW bialy matowy RAL 9003 - maksymalna zalecana długość profilu 2500 mm</v>
      </c>
      <c r="B4">
        <v>1</v>
      </c>
      <c r="C4" t="s">
        <v>662</v>
      </c>
      <c r="D4">
        <v>0</v>
      </c>
      <c r="G4" t="s">
        <v>1037</v>
      </c>
      <c r="H4" t="s">
        <v>384</v>
      </c>
      <c r="I4">
        <v>0</v>
      </c>
      <c r="J4">
        <v>2</v>
      </c>
      <c r="K4" t="s">
        <v>662</v>
      </c>
      <c r="M4" t="s">
        <v>1041</v>
      </c>
      <c r="N4" t="s">
        <v>942</v>
      </c>
      <c r="X4" t="str">
        <f>'Translate&amp;Prices&amp;Logo'!$B$564</f>
        <v>Biała</v>
      </c>
      <c r="Y4">
        <v>2</v>
      </c>
      <c r="AA4" t="s">
        <v>1040</v>
      </c>
      <c r="AB4" t="s">
        <v>2511</v>
      </c>
      <c r="AC4">
        <v>1</v>
      </c>
      <c r="AD4">
        <v>1</v>
      </c>
      <c r="AF4" t="s">
        <v>108</v>
      </c>
      <c r="AG4" t="s">
        <v>2514</v>
      </c>
      <c r="AY4" t="s">
        <v>1070</v>
      </c>
      <c r="AZ4" t="s">
        <v>1105</v>
      </c>
      <c r="BK4" t="s">
        <v>108</v>
      </c>
      <c r="BV4" t="s">
        <v>1104</v>
      </c>
      <c r="BW4" t="s">
        <v>1098</v>
      </c>
      <c r="BY4" t="str">
        <f>'Translate&amp;Prices&amp;Logo'!$B$229</f>
        <v>W prawo</v>
      </c>
      <c r="BZ4">
        <v>2</v>
      </c>
      <c r="CA4">
        <v>64</v>
      </c>
      <c r="CD4" t="s">
        <v>2275</v>
      </c>
      <c r="CE4">
        <v>1</v>
      </c>
      <c r="CF4">
        <v>0</v>
      </c>
      <c r="DN4" t="e">
        <f>IF(OR(Ram_2!$H$13&amp;Ram_2!$AU$7=Ram_2!$M$44,
Ram_2!$H$13&amp;Ram_2!$AU$7=Ram_2!$M$45,
Ram_2!$H$13&amp;Ram_2!$AU$7=Ram_2!$M$46,
Ram_2!$H$13&amp;Ram_2!$AU$7=Ram_2!$M$47),
'Translate&amp;Prices&amp;Logo'!B657,'Translate&amp;Prices&amp;Logo'!B555)</f>
        <v>#N/A</v>
      </c>
      <c r="ED4" t="s">
        <v>1772</v>
      </c>
      <c r="EE4" t="s">
        <v>1866</v>
      </c>
      <c r="EJ4">
        <v>2</v>
      </c>
      <c r="EK4" t="s">
        <v>116</v>
      </c>
      <c r="EN4" t="str">
        <f>'Translate&amp;Prices&amp;Logo'!B639</f>
        <v>Hartowane (termin dostawy 4 tygodnie)</v>
      </c>
      <c r="EO4">
        <v>2</v>
      </c>
      <c r="ER4" t="s">
        <v>2586</v>
      </c>
      <c r="ES4" t="s">
        <v>2587</v>
      </c>
      <c r="EV4">
        <v>4</v>
      </c>
      <c r="EW4" t="s">
        <v>2302</v>
      </c>
      <c r="EY4" s="271" t="str">
        <f>'Translate&amp;Prices&amp;Logo'!B166</f>
        <v>siatka stalowa biała - oko 8x4x1 mm</v>
      </c>
      <c r="FA4" s="75" t="str">
        <f>'Translate&amp;Prices&amp;Logo'!B646</f>
        <v>520407 SALICE AIR PUSH TO OPEN zawiasy niklowe z zestawem adapterów 2 szt</v>
      </c>
      <c r="FD4" s="293"/>
    </row>
    <row r="5" spans="1:160">
      <c r="A5" t="str">
        <f>'Translate&amp;Prices&amp;Logo'!$B$9</f>
        <v>BRW bialy połysk RAL 9003 - maksymalna zalecana długość profilu 2500 mm</v>
      </c>
      <c r="B5">
        <v>1</v>
      </c>
      <c r="C5" t="s">
        <v>662</v>
      </c>
      <c r="D5">
        <v>0</v>
      </c>
      <c r="F5" t="s">
        <v>1043</v>
      </c>
      <c r="G5" t="s">
        <v>383</v>
      </c>
      <c r="H5" t="s">
        <v>1037</v>
      </c>
      <c r="I5">
        <v>1</v>
      </c>
      <c r="J5">
        <v>2</v>
      </c>
      <c r="K5" t="s">
        <v>662</v>
      </c>
      <c r="M5" t="s">
        <v>1044</v>
      </c>
      <c r="N5" t="s">
        <v>558</v>
      </c>
      <c r="X5" t="str">
        <f>'Translate&amp;Prices&amp;Logo'!$B$565</f>
        <v>czarna</v>
      </c>
      <c r="Y5">
        <v>3</v>
      </c>
      <c r="AA5" t="s">
        <v>1040</v>
      </c>
      <c r="AB5" t="s">
        <v>2515</v>
      </c>
      <c r="AC5">
        <v>0</v>
      </c>
      <c r="AD5">
        <v>0</v>
      </c>
      <c r="AF5" t="s">
        <v>107</v>
      </c>
      <c r="AG5" t="s">
        <v>2516</v>
      </c>
      <c r="AY5" t="s">
        <v>1070</v>
      </c>
      <c r="AZ5" t="s">
        <v>1106</v>
      </c>
      <c r="BK5" t="s">
        <v>1047</v>
      </c>
      <c r="BV5" t="s">
        <v>2638</v>
      </c>
      <c r="BW5" t="s">
        <v>2639</v>
      </c>
      <c r="BY5" t="str">
        <f>'Translate&amp;Prices&amp;Logo'!$B$227</f>
        <v>W górę</v>
      </c>
      <c r="BZ5">
        <v>3</v>
      </c>
      <c r="CA5">
        <v>76</v>
      </c>
      <c r="CD5" t="s">
        <v>1050</v>
      </c>
      <c r="CE5">
        <v>1</v>
      </c>
      <c r="CF5">
        <v>0</v>
      </c>
      <c r="ED5" t="s">
        <v>1773</v>
      </c>
      <c r="EE5" t="s">
        <v>1867</v>
      </c>
      <c r="EJ5">
        <v>3</v>
      </c>
      <c r="EK5" t="s">
        <v>76</v>
      </c>
      <c r="EN5" t="str">
        <f>'Translate&amp;Prices&amp;Logo'!B640</f>
        <v>Folia</v>
      </c>
      <c r="EO5">
        <v>3</v>
      </c>
      <c r="ER5" t="s">
        <v>2588</v>
      </c>
      <c r="ES5" t="s">
        <v>2589</v>
      </c>
      <c r="EV5">
        <v>5</v>
      </c>
      <c r="EW5" t="s">
        <v>2300</v>
      </c>
      <c r="EY5" s="271" t="str">
        <f>'Translate&amp;Prices&amp;Logo'!B167</f>
        <v>siatka elox - oko 10x6x1 mm</v>
      </c>
      <c r="FA5" s="75" t="str">
        <f>'Translate&amp;Prices&amp;Logo'!B647</f>
        <v>520408 SALICE AIR SOFT zawiasy niklowe z zestawem adapterów 2 szt</v>
      </c>
      <c r="FD5" s="293"/>
    </row>
    <row r="6" spans="1:160">
      <c r="A6" t="str">
        <f>'Translate&amp;Prices&amp;Logo'!$B$11</f>
        <v>BRW szczotkowany - maksymalna zalecana długość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W dół</v>
      </c>
      <c r="BZ6">
        <v>4</v>
      </c>
      <c r="CA6">
        <v>96</v>
      </c>
      <c r="CD6" t="s">
        <v>1053</v>
      </c>
      <c r="CE6">
        <v>1</v>
      </c>
      <c r="CF6">
        <v>1</v>
      </c>
      <c r="ED6" t="s">
        <v>1774</v>
      </c>
      <c r="EE6" t="s">
        <v>1868</v>
      </c>
      <c r="EJ6">
        <v>4</v>
      </c>
      <c r="EK6" t="s">
        <v>77</v>
      </c>
      <c r="ER6" t="s">
        <v>2590</v>
      </c>
      <c r="ES6" t="s">
        <v>2591</v>
      </c>
      <c r="FA6" s="75" t="str">
        <f>'Translate&amp;Prices&amp;Logo'!B648</f>
        <v>520410 SALICE AIR SOFT TITANIUM  zawiasy o kącie otwarcia 92° kpl. 2 szt</v>
      </c>
    </row>
    <row r="7" spans="1:160">
      <c r="A7" t="str">
        <f>'Translate&amp;Prices&amp;Logo'!$B$12</f>
        <v>BRW Czarny matowy - maksymalna zalecana długość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zawiasy komplet 2 szt</v>
      </c>
      <c r="FD7" s="293"/>
    </row>
    <row r="8" spans="1:160">
      <c r="A8" t="str">
        <f>'Translate&amp;Prices&amp;Logo'!$B$14</f>
        <v>BRW czarna szczotka - maksymalna zalecana długość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zawiasy z zestawem adapterów 2 szt</v>
      </c>
    </row>
    <row r="9" spans="1:160">
      <c r="A9" t="str">
        <f>'Translate&amp;Prices&amp;Logo'!$B$15</f>
        <v>BRW acier grata - maksymalna zalecana długość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zawiasy z zestawem adapterów 2 szt</v>
      </c>
    </row>
    <row r="10" spans="1:160">
      <c r="A10" t="str">
        <f>'Translate&amp;Prices&amp;Logo'!$B$7</f>
        <v>BRW antracyt RAL 7021 - maksymalna zalecana długość profilu 2500 mm</v>
      </c>
      <c r="B10">
        <v>1</v>
      </c>
      <c r="C10" t="s">
        <v>662</v>
      </c>
      <c r="D10">
        <v>0</v>
      </c>
      <c r="M10" t="str">
        <f>'Translate&amp;Prices&amp;Logo'!B558</f>
        <v>Poziomo (termin dostawy 4 tygodnie)</v>
      </c>
      <c r="N10">
        <f>IF(Ram_2!$H$9=kombinace_2!M10,1,0)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maksymalna zalecana długość profilu 2500 mm</v>
      </c>
      <c r="B11">
        <v>1</v>
      </c>
      <c r="C11" t="s">
        <v>662</v>
      </c>
      <c r="D11">
        <v>0</v>
      </c>
      <c r="M11" t="str">
        <f>'Translate&amp;Prices&amp;Logo'!B559</f>
        <v>Pionowo (termin dostawy 4 tygodnie)</v>
      </c>
      <c r="N11">
        <f>IF(Ram_2!$H$9=kombinace_2!M11,2,0)</f>
        <v>0</v>
      </c>
      <c r="AC11">
        <v>0</v>
      </c>
      <c r="AD11">
        <v>0</v>
      </c>
      <c r="AF11" t="s">
        <v>107</v>
      </c>
      <c r="AG11" t="s">
        <v>1055</v>
      </c>
      <c r="AY11" t="s">
        <v>1040</v>
      </c>
      <c r="AZ11" t="s">
        <v>1111</v>
      </c>
      <c r="BQ11" s="273" t="s">
        <v>2390</v>
      </c>
      <c r="BY11">
        <v>5</v>
      </c>
      <c r="CA11">
        <v>240</v>
      </c>
      <c r="CD11" t="str">
        <f>CONCATENATE('Translate&amp;Prices&amp;Logo'!B664,"_K12")</f>
        <v>dolny_K12</v>
      </c>
      <c r="CE11">
        <v>1</v>
      </c>
      <c r="CF11">
        <v>0</v>
      </c>
      <c r="DN11" t="s">
        <v>70</v>
      </c>
      <c r="DO11" s="2" t="s">
        <v>70</v>
      </c>
      <c r="ED11" t="s">
        <v>1779</v>
      </c>
      <c r="EE11" t="s">
        <v>1873</v>
      </c>
      <c r="ER11" t="s">
        <v>2280</v>
      </c>
      <c r="ES11" t="s">
        <v>2286</v>
      </c>
      <c r="FD11" s="293"/>
    </row>
    <row r="12" spans="1:160">
      <c r="A12" t="str">
        <f>'Translate&amp;Prices&amp;Logo'!$B$70</f>
        <v>BRW champagne light - maksymalna zalecana długość profilu 2500 mm</v>
      </c>
      <c r="B12">
        <v>1</v>
      </c>
      <c r="C12" t="s">
        <v>662</v>
      </c>
      <c r="D12">
        <v>0</v>
      </c>
      <c r="M12" t="str">
        <f>'Translate&amp;Prices&amp;Logo'!B560</f>
        <v>Poziomo i pionowo (termin dostawy 4 tygodnie)</v>
      </c>
      <c r="N12">
        <f>IF(Ram_2!$H$9=kombinace_2!M12,3,0)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brąz - maksymalna zalecana długość profilu 2500 mm</v>
      </c>
      <c r="B13">
        <v>1</v>
      </c>
      <c r="C13" t="s">
        <v>662</v>
      </c>
      <c r="D13">
        <v>0</v>
      </c>
      <c r="AC13">
        <v>0</v>
      </c>
      <c r="AD13">
        <v>0</v>
      </c>
      <c r="AF13" t="s">
        <v>107</v>
      </c>
      <c r="AG13" t="s">
        <v>1058</v>
      </c>
      <c r="AY13" t="s">
        <v>1040</v>
      </c>
      <c r="AZ13" t="s">
        <v>1113</v>
      </c>
      <c r="BQ13" s="274"/>
      <c r="BR13" t="s">
        <v>1052</v>
      </c>
      <c r="BY13" t="str">
        <f>'Translate&amp;Prices&amp;Logo'!$B$558</f>
        <v>Poziomo (termin dostawy 4 tygodnie)</v>
      </c>
      <c r="BZ13">
        <v>1</v>
      </c>
      <c r="CA13">
        <v>288</v>
      </c>
      <c r="CD13" t="str">
        <f>CONCATENATE('Translate&amp;Prices&amp;Logo'!B664,"_kraby")</f>
        <v>dolny_kraby</v>
      </c>
      <c r="CE13">
        <v>1</v>
      </c>
      <c r="CF13">
        <v>0</v>
      </c>
      <c r="DN13" t="s">
        <v>222</v>
      </c>
      <c r="DO13" s="2" t="s">
        <v>69</v>
      </c>
      <c r="ED13" t="s">
        <v>2648</v>
      </c>
      <c r="EE13" t="s">
        <v>2647</v>
      </c>
      <c r="ER13" t="s">
        <v>2282</v>
      </c>
      <c r="ES13" t="s">
        <v>2282</v>
      </c>
    </row>
    <row r="14" spans="1:160">
      <c r="A14" t="str">
        <f>'Translate&amp;Prices&amp;Logo'!$B$16</f>
        <v>BRW INOX (stal nierdzewna) - maksymalna zalecana długość profilu 2500 mm</v>
      </c>
      <c r="B14">
        <v>1</v>
      </c>
      <c r="C14" t="s">
        <v>662</v>
      </c>
      <c r="D14">
        <v>0</v>
      </c>
      <c r="J14" t="b">
        <f>TRUE</f>
        <v>1</v>
      </c>
      <c r="K14">
        <v>1</v>
      </c>
      <c r="AA14" t="s">
        <v>2205</v>
      </c>
      <c r="AB14" t="s">
        <v>1099</v>
      </c>
      <c r="AF14" t="s">
        <v>108</v>
      </c>
      <c r="AG14" t="s">
        <v>1058</v>
      </c>
      <c r="AY14" t="s">
        <v>1040</v>
      </c>
      <c r="AZ14" t="s">
        <v>1114</v>
      </c>
      <c r="BQ14" s="274"/>
      <c r="BY14" t="str">
        <f>'Translate&amp;Prices&amp;Logo'!$B$559</f>
        <v>Pionowo (termin dostawy 4 tygodnie)</v>
      </c>
      <c r="BZ14">
        <v>2</v>
      </c>
      <c r="CA14">
        <v>320</v>
      </c>
      <c r="CD14" t="s">
        <v>1066</v>
      </c>
      <c r="CE14">
        <v>1</v>
      </c>
      <c r="CF14">
        <v>0</v>
      </c>
      <c r="DN14" t="s">
        <v>223</v>
      </c>
      <c r="DO14" s="2" t="s">
        <v>70</v>
      </c>
      <c r="ED14" t="s">
        <v>1781</v>
      </c>
      <c r="EE14" t="s">
        <v>1875</v>
      </c>
      <c r="ER14" t="s">
        <v>2283</v>
      </c>
      <c r="ES14" t="s">
        <v>2283</v>
      </c>
    </row>
    <row r="15" spans="1:160">
      <c r="A15" t="str">
        <f>'Translate&amp;Prices&amp;Logo'!$B$13</f>
        <v>BRW złota- maksymalna zalecana długość profilu 2500 mm</v>
      </c>
      <c r="B15">
        <v>1</v>
      </c>
      <c r="C15" t="s">
        <v>662</v>
      </c>
      <c r="D15">
        <v>1</v>
      </c>
      <c r="J15" t="b">
        <f>FALSE</f>
        <v>0</v>
      </c>
      <c r="K15">
        <v>2</v>
      </c>
      <c r="AA15" t="s">
        <v>1052</v>
      </c>
      <c r="AB15" t="s">
        <v>1050</v>
      </c>
      <c r="AC15">
        <v>1</v>
      </c>
      <c r="AD15">
        <v>0</v>
      </c>
      <c r="AF15" t="s">
        <v>107</v>
      </c>
      <c r="AG15" t="s">
        <v>1060</v>
      </c>
      <c r="AY15" t="s">
        <v>2577</v>
      </c>
      <c r="BQ15" s="275"/>
      <c r="BY15" t="str">
        <f>'Translate&amp;Prices&amp;Logo'!$B$560</f>
        <v>Poziomo i pionowo (termin dostawy 4 tygodnie)</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złota szczotkowany - maksymalna zalecana zalecana długość profilu 2500 mm</v>
      </c>
      <c r="B16">
        <v>1</v>
      </c>
      <c r="C16" t="s">
        <v>662</v>
      </c>
      <c r="D16">
        <v>0</v>
      </c>
      <c r="AA16" t="s">
        <v>1052</v>
      </c>
      <c r="AB16" t="s">
        <v>1053</v>
      </c>
      <c r="AC16">
        <v>1</v>
      </c>
      <c r="AD16">
        <v>1</v>
      </c>
      <c r="AF16" t="s">
        <v>108</v>
      </c>
      <c r="AG16" t="s">
        <v>1060</v>
      </c>
      <c r="AY16" t="s">
        <v>2577</v>
      </c>
      <c r="AZ16" t="s">
        <v>2578</v>
      </c>
      <c r="CA16">
        <v>448</v>
      </c>
      <c r="CD16" t="str">
        <f>'Translate&amp;Prices&amp;Logo'!B659</f>
        <v>StrongLift_gorny</v>
      </c>
      <c r="CE16">
        <v>1</v>
      </c>
      <c r="CF16">
        <v>1</v>
      </c>
      <c r="DN16" t="s">
        <v>286</v>
      </c>
      <c r="DO16" s="2" t="s">
        <v>69</v>
      </c>
      <c r="ED16" t="s">
        <v>1783</v>
      </c>
      <c r="EE16" t="s">
        <v>1877</v>
      </c>
      <c r="ER16" t="s">
        <v>2587</v>
      </c>
      <c r="ES16" t="s">
        <v>2587</v>
      </c>
      <c r="FD16" s="293"/>
    </row>
    <row r="17" spans="1:160">
      <c r="A17" t="str">
        <f>'Translate&amp;Prices&amp;Logo'!$B$17</f>
        <v>Corleone (elox.)- maksymalna zalecana długość profilu 1500 mm</v>
      </c>
      <c r="B17">
        <v>2</v>
      </c>
      <c r="C17" t="s">
        <v>662</v>
      </c>
      <c r="D17">
        <v>0</v>
      </c>
      <c r="E17">
        <v>3</v>
      </c>
      <c r="AA17" t="s">
        <v>1052</v>
      </c>
      <c r="AB17" t="e">
        <f>IF(Ram_2!AU7=2,"FREEspace"," ")</f>
        <v>#N/A</v>
      </c>
      <c r="AC17">
        <v>0</v>
      </c>
      <c r="AD17">
        <v>0</v>
      </c>
      <c r="AF17" t="s">
        <v>107</v>
      </c>
      <c r="AG17" t="s">
        <v>1061</v>
      </c>
      <c r="AY17" t="s">
        <v>2577</v>
      </c>
      <c r="AZ17" t="s">
        <v>2579</v>
      </c>
      <c r="CA17">
        <v>480</v>
      </c>
      <c r="CD17" t="str">
        <f>'Translate&amp;Prices&amp;Logo'!B660</f>
        <v>StrongLift_dolny</v>
      </c>
      <c r="CE17">
        <v>1</v>
      </c>
      <c r="CF17">
        <v>1</v>
      </c>
      <c r="DN17" t="s">
        <v>1363</v>
      </c>
      <c r="DO17" s="2" t="s">
        <v>70</v>
      </c>
      <c r="ED17" t="s">
        <v>1784</v>
      </c>
      <c r="EE17" t="s">
        <v>1878</v>
      </c>
      <c r="ER17" t="s">
        <v>2589</v>
      </c>
      <c r="ES17" t="s">
        <v>2589</v>
      </c>
      <c r="FD17" s="293"/>
    </row>
    <row r="18" spans="1:160">
      <c r="A18" t="str">
        <f>'Translate&amp;Prices&amp;Logo'!$B$18</f>
        <v>Corleone czarny matowy - maksymalna zalecana długość profilu 1500 mm</v>
      </c>
      <c r="B18">
        <v>2</v>
      </c>
      <c r="C18" t="s">
        <v>662</v>
      </c>
      <c r="D18">
        <v>0</v>
      </c>
      <c r="E18">
        <v>3</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czarne  - maksymalna zalecana długość profilu 2150</v>
      </c>
      <c r="B19">
        <v>1</v>
      </c>
      <c r="C19" t="s">
        <v>1084</v>
      </c>
      <c r="D19">
        <v>0</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antracyt mat RAL 7021 mat lakier - maksymalna zalecana długość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maksymalna zalecana długość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Czarny matowy - maksymalna zalecana długość profilu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bialy matowy RAL 9003 - maksymalna zalecana długość profilu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złota - maksymalna zalecana zalecana długość profilu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maksymalna zalecana długość profilu 2500 mm</v>
      </c>
      <c r="B25">
        <v>2</v>
      </c>
      <c r="C25" t="s">
        <v>662</v>
      </c>
      <c r="D25">
        <v>0</v>
      </c>
      <c r="AF25" t="s">
        <v>107</v>
      </c>
      <c r="AG25" t="s">
        <v>1066</v>
      </c>
      <c r="BY25">
        <v>8</v>
      </c>
      <c r="ED25" t="s">
        <v>1792</v>
      </c>
      <c r="EE25" t="s">
        <v>1886</v>
      </c>
      <c r="ER25" t="s">
        <v>2292</v>
      </c>
      <c r="ES25" t="s">
        <v>2292</v>
      </c>
    </row>
    <row r="26" spans="1:160">
      <c r="A26" t="str">
        <f>'Translate&amp;Prices&amp;Logo'!$B$23</f>
        <v>Modena Czarny matowy - maksymalna zalecana długość profilu 2500 mm</v>
      </c>
      <c r="B26">
        <v>2</v>
      </c>
      <c r="C26" t="s">
        <v>662</v>
      </c>
      <c r="D26">
        <v>0</v>
      </c>
      <c r="AF26" t="s">
        <v>108</v>
      </c>
      <c r="AG26" t="s">
        <v>1066</v>
      </c>
      <c r="BY26">
        <v>9</v>
      </c>
      <c r="ED26" t="s">
        <v>1793</v>
      </c>
      <c r="EE26" t="s">
        <v>1887</v>
      </c>
      <c r="ER26" t="s">
        <v>2293</v>
      </c>
      <c r="ES26" t="s">
        <v>2293</v>
      </c>
    </row>
    <row r="27" spans="1:160">
      <c r="A27" t="str">
        <f>'Translate&amp;Prices&amp;Logo'!$B$25</f>
        <v>Modena czarna szczotka - maksymalna zalecana długość profilu 2500 mm</v>
      </c>
      <c r="B27">
        <v>2</v>
      </c>
      <c r="C27" t="s">
        <v>662</v>
      </c>
      <c r="D27">
        <v>0</v>
      </c>
      <c r="AF27" t="s">
        <v>107</v>
      </c>
      <c r="AG27" t="s">
        <v>1067</v>
      </c>
      <c r="BY27">
        <v>10</v>
      </c>
      <c r="ED27" t="s">
        <v>1794</v>
      </c>
      <c r="EE27" t="s">
        <v>1888</v>
      </c>
      <c r="ER27" t="s">
        <v>2294</v>
      </c>
      <c r="ES27" t="s">
        <v>2294</v>
      </c>
    </row>
    <row r="28" spans="1:160">
      <c r="A28" t="str">
        <f>'Translate&amp;Prices&amp;Logo'!$B$26</f>
        <v>Modena INOX (stal nierdzewna) - maksymalna zalecana długość profilu 2500 mm</v>
      </c>
      <c r="B28">
        <v>2</v>
      </c>
      <c r="C28" t="s">
        <v>662</v>
      </c>
      <c r="D28">
        <v>0</v>
      </c>
      <c r="AA28" t="s">
        <v>2206</v>
      </c>
      <c r="AB28" t="s">
        <v>1098</v>
      </c>
      <c r="AF28" t="s">
        <v>108</v>
      </c>
      <c r="AG28" t="s">
        <v>1067</v>
      </c>
      <c r="ED28" t="s">
        <v>1795</v>
      </c>
      <c r="EE28" t="s">
        <v>1889</v>
      </c>
      <c r="ER28" t="s">
        <v>2598</v>
      </c>
      <c r="ES28" t="s">
        <v>2598</v>
      </c>
    </row>
    <row r="29" spans="1:160">
      <c r="A29" t="str">
        <f>'Translate&amp;Prices&amp;Logo'!$B$29</f>
        <v>Pisa (elox.) - maksymalna zalecana długość profilu 2500 mm</v>
      </c>
      <c r="B29">
        <v>2</v>
      </c>
      <c r="C29" t="s">
        <v>662</v>
      </c>
      <c r="D29">
        <v>0</v>
      </c>
      <c r="AA29" t="s">
        <v>1062</v>
      </c>
      <c r="AB29" t="s">
        <v>1061</v>
      </c>
      <c r="AC29">
        <v>1</v>
      </c>
      <c r="AD29">
        <v>0</v>
      </c>
      <c r="AF29" t="s">
        <v>107</v>
      </c>
      <c r="AG29" t="s">
        <v>1068</v>
      </c>
      <c r="ED29" t="s">
        <v>1796</v>
      </c>
      <c r="EE29" t="s">
        <v>1890</v>
      </c>
      <c r="ER29" t="s">
        <v>2599</v>
      </c>
      <c r="ES29" t="s">
        <v>2599</v>
      </c>
    </row>
    <row r="30" spans="1:160">
      <c r="A30" t="str">
        <f>'Translate&amp;Prices&amp;Logo'!$B$52</f>
        <v>Pisa biały matowy RAL 9003 - maksymalna zalecana zalecana długość profilu 2500 mm</v>
      </c>
      <c r="B30">
        <v>2</v>
      </c>
      <c r="C30" t="s">
        <v>662</v>
      </c>
      <c r="D30">
        <v>0</v>
      </c>
      <c r="AA30" t="s">
        <v>1062</v>
      </c>
      <c r="AB30" t="str">
        <f>CONCATENATE('Translate&amp;Prices&amp;Logo'!B664,"_K12")</f>
        <v>dolny_K12</v>
      </c>
      <c r="AC30">
        <v>1</v>
      </c>
      <c r="AD30">
        <v>0</v>
      </c>
      <c r="AF30" t="s">
        <v>108</v>
      </c>
      <c r="AG30" t="s">
        <v>1068</v>
      </c>
      <c r="ED30" t="s">
        <v>1797</v>
      </c>
      <c r="EE30" t="s">
        <v>1891</v>
      </c>
      <c r="ER30" t="s">
        <v>2600</v>
      </c>
      <c r="ES30" t="s">
        <v>2600</v>
      </c>
    </row>
    <row r="31" spans="1:160">
      <c r="A31" t="str">
        <f>'Translate&amp;Prices&amp;Logo'!$B$53</f>
        <v>Pisa biały połysk RAL 9003 - maksymalna zalecana zalecana długość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'Translate&amp;Prices&amp;Logo'!$B$30</f>
        <v>Pisa Czarny matowy - maksymalna zalecana długość profilu 2500 mm</v>
      </c>
      <c r="B32">
        <v>2</v>
      </c>
      <c r="C32" t="s">
        <v>1084</v>
      </c>
      <c r="D32">
        <v>0</v>
      </c>
      <c r="AA32" t="s">
        <v>1062</v>
      </c>
      <c r="AB32" t="str">
        <f>CONCATENATE('Translate&amp;Prices&amp;Logo'!B664,"_kraby")</f>
        <v>dolny_kraby</v>
      </c>
      <c r="AC32">
        <v>1</v>
      </c>
      <c r="AD32">
        <v>0</v>
      </c>
      <c r="AF32" t="s">
        <v>108</v>
      </c>
      <c r="AG32" t="s">
        <v>1069</v>
      </c>
      <c r="BY32" t="str">
        <f>'Translate&amp;Prices&amp;Logo'!$B$230</f>
        <v>W lewo</v>
      </c>
      <c r="BZ32" t="str">
        <f>'Translate&amp;Prices&amp;Logo'!$B$589</f>
        <v>(dolnej)</v>
      </c>
      <c r="CA32" t="str">
        <f>'Translate&amp;Prices&amp;Logo'!$B$591</f>
        <v>(górnej)</v>
      </c>
      <c r="CC32" t="str">
        <f>'Translate&amp;Prices&amp;Logo'!$O$589</f>
        <v>(dolnej)</v>
      </c>
      <c r="CD32" t="str">
        <f>'Translate&amp;Prices&amp;Logo'!$O$591</f>
        <v>(górnej)</v>
      </c>
      <c r="ED32" t="s">
        <v>1799</v>
      </c>
      <c r="EE32" t="s">
        <v>1893</v>
      </c>
      <c r="ER32" t="s">
        <v>2602</v>
      </c>
      <c r="ES32" t="s">
        <v>2602</v>
      </c>
    </row>
    <row r="33" spans="1:149">
      <c r="A33" t="str">
        <f>'Translate&amp;Prices&amp;Logo'!$B$58</f>
        <v>Pisa złota - maksymalna zalecana długość profilu 2150 mm</v>
      </c>
      <c r="B33">
        <v>2</v>
      </c>
      <c r="C33" t="s">
        <v>1084</v>
      </c>
      <c r="D33">
        <v>0</v>
      </c>
      <c r="AA33" t="s">
        <v>1062</v>
      </c>
      <c r="AB33" t="s">
        <v>1066</v>
      </c>
      <c r="AC33">
        <v>1</v>
      </c>
      <c r="AD33">
        <v>0</v>
      </c>
      <c r="AF33" t="s">
        <v>107</v>
      </c>
      <c r="AG33" t="s">
        <v>1071</v>
      </c>
      <c r="BY33" t="str">
        <f>'Translate&amp;Prices&amp;Logo'!$B$229</f>
        <v>W prawo</v>
      </c>
      <c r="BZ33" t="str">
        <f>'Translate&amp;Prices&amp;Logo'!$B$589</f>
        <v>(dolnej)</v>
      </c>
      <c r="CA33" t="str">
        <f>'Translate&amp;Prices&amp;Logo'!$B$591</f>
        <v>(górnej)</v>
      </c>
      <c r="CC33" t="str">
        <f>'Translate&amp;Prices&amp;Logo'!$O$589</f>
        <v>(dolnej)</v>
      </c>
      <c r="CD33" t="str">
        <f>'Translate&amp;Prices&amp;Logo'!$O$591</f>
        <v>(górnej)</v>
      </c>
      <c r="ED33" t="s">
        <v>1800</v>
      </c>
      <c r="EE33" t="s">
        <v>1894</v>
      </c>
      <c r="ER33" t="s">
        <v>2603</v>
      </c>
      <c r="ES33" t="s">
        <v>2603</v>
      </c>
    </row>
    <row r="34" spans="1:149">
      <c r="A34" t="str">
        <f>'Translate&amp;Prices&amp;Logo'!$B$50</f>
        <v>Rocca (elox.) - maksymalna zalecana zalecana długość profilu 2150 mm</v>
      </c>
      <c r="B34">
        <v>1</v>
      </c>
      <c r="C34" t="s">
        <v>662</v>
      </c>
      <c r="D34">
        <v>0</v>
      </c>
      <c r="AB34" t="s">
        <v>1067</v>
      </c>
      <c r="AC34">
        <v>1</v>
      </c>
      <c r="AD34">
        <v>0</v>
      </c>
      <c r="AF34" t="s">
        <v>108</v>
      </c>
      <c r="AG34" t="s">
        <v>1071</v>
      </c>
      <c r="BY34" t="str">
        <f>'Translate&amp;Prices&amp;Logo'!$B$227</f>
        <v>W górę</v>
      </c>
      <c r="BZ34" t="str">
        <f>'Translate&amp;Prices&amp;Logo'!$B$590</f>
        <v>(lewej)</v>
      </c>
      <c r="CA34" t="str">
        <f>'Translate&amp;Prices&amp;Logo'!$B$592</f>
        <v>(prawej)</v>
      </c>
      <c r="CC34" t="str">
        <f>'Translate&amp;Prices&amp;Logo'!$O$590</f>
        <v>(lewej)</v>
      </c>
      <c r="CD34" t="str">
        <f>'Translate&amp;Prices&amp;Logo'!$O$592</f>
        <v>(prawej)</v>
      </c>
      <c r="ED34" t="s">
        <v>1801</v>
      </c>
      <c r="EE34" t="s">
        <v>1895</v>
      </c>
      <c r="ER34" t="s">
        <v>2295</v>
      </c>
      <c r="ES34" t="s">
        <v>2295</v>
      </c>
    </row>
    <row r="35" spans="1:149">
      <c r="A35" t="str">
        <f>'Translate&amp;Prices&amp;Logo'!$B$42</f>
        <v>Rocca czarny matowy - maksymalna zalecana zalecana długość profilu 2150 mm</v>
      </c>
      <c r="B35">
        <v>1</v>
      </c>
      <c r="C35" t="s">
        <v>662</v>
      </c>
      <c r="D35">
        <v>0</v>
      </c>
      <c r="BY35" t="str">
        <f>'Translate&amp;Prices&amp;Logo'!$B$228</f>
        <v>W dół</v>
      </c>
      <c r="BZ35" t="str">
        <f>'Translate&amp;Prices&amp;Logo'!$B$590</f>
        <v>(lewej)</v>
      </c>
      <c r="CA35" t="str">
        <f>'Translate&amp;Prices&amp;Logo'!$B$592</f>
        <v>(prawej)</v>
      </c>
      <c r="CC35" t="str">
        <f>'Translate&amp;Prices&amp;Logo'!$O$590</f>
        <v>(lewej)</v>
      </c>
      <c r="CD35" t="str">
        <f>'Translate&amp;Prices&amp;Logo'!$O$592</f>
        <v>(prawej)</v>
      </c>
      <c r="ED35" t="s">
        <v>1802</v>
      </c>
      <c r="EE35" t="s">
        <v>1896</v>
      </c>
      <c r="ER35" t="s">
        <v>2296</v>
      </c>
      <c r="ES35" t="s">
        <v>2296</v>
      </c>
    </row>
    <row r="36" spans="1:149">
      <c r="A36" t="str">
        <f>'Translate&amp;Prices&amp;Logo'!$B$34</f>
        <v>Verona (elox.) - maksymalna zalecana zalecana długość profilu 2500 mm</v>
      </c>
      <c r="B36">
        <v>1</v>
      </c>
      <c r="C36" t="s">
        <v>662</v>
      </c>
      <c r="D36">
        <v>0</v>
      </c>
      <c r="ED36" t="s">
        <v>1741</v>
      </c>
      <c r="EE36" t="s">
        <v>1897</v>
      </c>
      <c r="ER36" t="s">
        <v>2297</v>
      </c>
      <c r="ES36" t="s">
        <v>2297</v>
      </c>
    </row>
    <row r="37" spans="1:149">
      <c r="A37" t="str">
        <f>'Translate&amp;Prices&amp;Logo'!$B$35</f>
        <v>Verona szczotkowany - maksymalna zalecana zalecana długość profilu 2500 mm</v>
      </c>
      <c r="B37">
        <v>1</v>
      </c>
      <c r="C37" t="s">
        <v>662</v>
      </c>
      <c r="D37">
        <v>0</v>
      </c>
      <c r="BY37" t="s">
        <v>1451</v>
      </c>
      <c r="ED37" t="s">
        <v>1742</v>
      </c>
      <c r="EE37" t="s">
        <v>1898</v>
      </c>
      <c r="ER37" t="s">
        <v>2342</v>
      </c>
      <c r="ES37" t="s">
        <v>2336</v>
      </c>
    </row>
    <row r="38" spans="1:149">
      <c r="A38" t="str">
        <f>'Translate&amp;Prices&amp;Logo'!$B$37</f>
        <v>Verona czarny matowy - maksymalna zalecana zalecana długość profilu 2500 mm</v>
      </c>
      <c r="B38">
        <v>1</v>
      </c>
      <c r="C38" t="s">
        <v>662</v>
      </c>
      <c r="D38">
        <v>0</v>
      </c>
      <c r="ED38" t="s">
        <v>1743</v>
      </c>
      <c r="EE38" t="s">
        <v>1899</v>
      </c>
      <c r="ER38" t="s">
        <v>2343</v>
      </c>
      <c r="ES38" t="s">
        <v>2337</v>
      </c>
    </row>
    <row r="39" spans="1:149">
      <c r="A39" t="str">
        <f>'Translate&amp;Prices&amp;Logo'!$B$36</f>
        <v>Verona czarny połysk - maksymalna zalecana zalecana długość profilu 2500 mm</v>
      </c>
      <c r="B39">
        <v>1</v>
      </c>
      <c r="C39" t="s">
        <v>662</v>
      </c>
      <c r="D39">
        <v>0</v>
      </c>
      <c r="AA39" t="s">
        <v>2641</v>
      </c>
      <c r="AB39" t="s">
        <v>2639</v>
      </c>
      <c r="ED39" t="s">
        <v>1744</v>
      </c>
      <c r="EE39" t="s">
        <v>1900</v>
      </c>
      <c r="ER39" t="s">
        <v>2344</v>
      </c>
      <c r="ES39" t="s">
        <v>2338</v>
      </c>
    </row>
    <row r="40" spans="1:149">
      <c r="A40" t="str">
        <f>'Translate&amp;Prices&amp;Logo'!$B$38</f>
        <v>Verona braz - maksymalna zalecana zalecana długość profilu 2500 mm</v>
      </c>
      <c r="B40">
        <v>1</v>
      </c>
      <c r="C40" t="s">
        <v>662</v>
      </c>
      <c r="D40">
        <v>0</v>
      </c>
      <c r="AA40" t="s">
        <v>2641</v>
      </c>
      <c r="AB40" t="str">
        <f>'Translate&amp;Prices&amp;Logo'!B659</f>
        <v>StrongLift_gorny</v>
      </c>
      <c r="AC40">
        <v>1</v>
      </c>
      <c r="AD40">
        <v>0</v>
      </c>
      <c r="ED40" t="s">
        <v>1745</v>
      </c>
      <c r="EE40" t="s">
        <v>1901</v>
      </c>
      <c r="ER40" t="s">
        <v>2345</v>
      </c>
      <c r="ES40" t="s">
        <v>2339</v>
      </c>
    </row>
    <row r="41" spans="1:149">
      <c r="A41" t="str">
        <f>'Translate&amp;Prices&amp;Logo'!$B$39</f>
        <v>Verona szampański - maksymalna zalecana zalecana długość profilu 2500 mm</v>
      </c>
      <c r="B41">
        <v>1</v>
      </c>
      <c r="C41" t="s">
        <v>662</v>
      </c>
      <c r="D41">
        <v>0</v>
      </c>
      <c r="AB41" t="str">
        <f>'Translate&amp;Prices&amp;Logo'!B660</f>
        <v>StrongLift_dolny</v>
      </c>
      <c r="AC41">
        <v>1</v>
      </c>
      <c r="AD41">
        <v>0</v>
      </c>
      <c r="ED41" t="s">
        <v>1746</v>
      </c>
      <c r="EE41" t="s">
        <v>1902</v>
      </c>
      <c r="ER41" t="s">
        <v>2346</v>
      </c>
      <c r="ES41" t="s">
        <v>2340</v>
      </c>
    </row>
    <row r="42" spans="1:149">
      <c r="A42" t="str">
        <f>'Translate&amp;Prices&amp;Logo'!$B$40</f>
        <v>Verona Inox szczotkowany - maksymalna zalecana zalecana długość profilu 2500 mm</v>
      </c>
      <c r="B42">
        <v>1</v>
      </c>
      <c r="C42" t="s">
        <v>662</v>
      </c>
      <c r="D42">
        <v>0</v>
      </c>
      <c r="AA42" t="s">
        <v>2207</v>
      </c>
      <c r="AB42" t="s">
        <v>1097</v>
      </c>
      <c r="ED42" t="s">
        <v>1747</v>
      </c>
      <c r="EE42" t="s">
        <v>1903</v>
      </c>
      <c r="ER42" t="s">
        <v>2347</v>
      </c>
      <c r="ES42" t="s">
        <v>2341</v>
      </c>
    </row>
    <row r="43" spans="1:149">
      <c r="A43" t="str">
        <f>'Translate&amp;Prices&amp;Logo'!$B$41</f>
        <v>Verona Inox Acier szczotkowany - maksymalna zalecana zalecana długość profilu 2500 mm</v>
      </c>
      <c r="B43">
        <v>1</v>
      </c>
      <c r="C43" t="s">
        <v>662</v>
      </c>
      <c r="D43">
        <v>0</v>
      </c>
      <c r="AA43" t="s">
        <v>1070</v>
      </c>
      <c r="AB43" t="s">
        <v>1217</v>
      </c>
      <c r="AC43">
        <v>0</v>
      </c>
      <c r="AD43">
        <v>0</v>
      </c>
      <c r="ED43" t="s">
        <v>1748</v>
      </c>
      <c r="EE43" t="s">
        <v>1904</v>
      </c>
      <c r="ER43" t="s">
        <v>2612</v>
      </c>
      <c r="ES43" t="s">
        <v>2604</v>
      </c>
    </row>
    <row r="44" spans="1:149">
      <c r="A44" t="str">
        <f>'Translate&amp;Prices&amp;Logo'!$B$24</f>
        <v>Verona złota - maksymalna zalecana długość profilu 2150 mm</v>
      </c>
      <c r="B44">
        <v>1</v>
      </c>
      <c r="C44" t="s">
        <v>662</v>
      </c>
      <c r="D44">
        <v>0</v>
      </c>
      <c r="AA44" t="s">
        <v>1070</v>
      </c>
      <c r="AB44" t="s">
        <v>1071</v>
      </c>
      <c r="AC44">
        <v>1</v>
      </c>
      <c r="AD44">
        <v>0</v>
      </c>
      <c r="ED44" t="s">
        <v>1749</v>
      </c>
      <c r="EE44" t="s">
        <v>1905</v>
      </c>
      <c r="ER44" t="s">
        <v>2613</v>
      </c>
      <c r="ES44" t="s">
        <v>2605</v>
      </c>
    </row>
    <row r="45" spans="1:149">
      <c r="A45" t="str">
        <f>'Translate&amp;Prices&amp;Logo'!$B$56</f>
        <v>Verona złota szczotkowany - maksymalna zalecana zalecana długość profilu 2150 mm</v>
      </c>
      <c r="B45">
        <v>1</v>
      </c>
      <c r="C45" t="s">
        <v>662</v>
      </c>
      <c r="D45">
        <v>0</v>
      </c>
      <c r="AB45" t="s">
        <v>1218</v>
      </c>
      <c r="AC45">
        <v>0</v>
      </c>
      <c r="AD45">
        <v>0</v>
      </c>
      <c r="ED45" t="s">
        <v>1750</v>
      </c>
      <c r="EE45" t="s">
        <v>1906</v>
      </c>
      <c r="ER45" t="s">
        <v>2366</v>
      </c>
      <c r="ES45" t="s">
        <v>2360</v>
      </c>
    </row>
    <row r="46" spans="1:149">
      <c r="A46" t="str">
        <f>'Translate&amp;Prices&amp;Logo'!$B$43</f>
        <v>Vivaro (elox.) - maksymalna zalecana zalecana długość profilu 2500 mm</v>
      </c>
      <c r="B46">
        <v>2</v>
      </c>
      <c r="C46" t="s">
        <v>662</v>
      </c>
      <c r="D46">
        <v>1</v>
      </c>
      <c r="ED46" t="s">
        <v>1751</v>
      </c>
      <c r="EE46" t="s">
        <v>1907</v>
      </c>
      <c r="ER46" t="s">
        <v>2367</v>
      </c>
      <c r="ES46" t="s">
        <v>2361</v>
      </c>
    </row>
    <row r="47" spans="1:149">
      <c r="A47" t="str">
        <f>'Translate&amp;Prices&amp;Logo'!$B$44</f>
        <v>Vivaro czarny matowy - maksymalna zalecana zalecana długość profilu 2500 mm</v>
      </c>
      <c r="B47">
        <v>2</v>
      </c>
      <c r="C47" t="s">
        <v>662</v>
      </c>
      <c r="D47">
        <v>1</v>
      </c>
      <c r="ED47" t="s">
        <v>1752</v>
      </c>
      <c r="EE47" t="s">
        <v>1908</v>
      </c>
      <c r="ER47" t="s">
        <v>2368</v>
      </c>
      <c r="ES47" t="s">
        <v>2362</v>
      </c>
    </row>
    <row r="48" spans="1:149">
      <c r="A48" t="str">
        <f>'Translate&amp;Prices&amp;Logo'!$B$46</f>
        <v>Vivaro INOX (stal nierdzewna) - maksymalna zalecana zalecana długość profilu 2500 mm</v>
      </c>
      <c r="B48">
        <v>2</v>
      </c>
      <c r="C48" t="s">
        <v>662</v>
      </c>
      <c r="D48">
        <v>0</v>
      </c>
      <c r="ED48" t="s">
        <v>1753</v>
      </c>
      <c r="EE48" t="s">
        <v>1909</v>
      </c>
      <c r="ER48" t="s">
        <v>2369</v>
      </c>
      <c r="ES48" t="s">
        <v>2363</v>
      </c>
    </row>
    <row r="49" spans="1:149">
      <c r="A49" t="str">
        <f>'Translate&amp;Prices&amp;Logo'!$B$47</f>
        <v>Vivaro biały matowy RAL 9003 - maksymalna zalecana zalecana długość profilu 2500 mm</v>
      </c>
      <c r="B49">
        <v>2</v>
      </c>
      <c r="C49" t="s">
        <v>662</v>
      </c>
      <c r="D49">
        <v>0</v>
      </c>
      <c r="AA49" t="s">
        <v>2208</v>
      </c>
      <c r="AB49" t="s">
        <v>2210</v>
      </c>
      <c r="ED49" t="s">
        <v>1754</v>
      </c>
      <c r="EE49" t="s">
        <v>1910</v>
      </c>
      <c r="ER49" t="s">
        <v>2370</v>
      </c>
      <c r="ES49" t="s">
        <v>2364</v>
      </c>
    </row>
    <row r="50" spans="1:149">
      <c r="A50" t="str">
        <f>'Translate&amp;Prices&amp;Logo'!$B$48</f>
        <v>Vivaro biały połysk RAL 9003 - maksymalna zalecana zalecana długość profilu 2500 mm</v>
      </c>
      <c r="B50">
        <v>2</v>
      </c>
      <c r="C50" t="s">
        <v>662</v>
      </c>
      <c r="D50">
        <v>0</v>
      </c>
      <c r="AB50" t="s">
        <v>2515</v>
      </c>
      <c r="AC50">
        <v>0</v>
      </c>
      <c r="AD50">
        <v>0</v>
      </c>
      <c r="ED50" t="s">
        <v>1755</v>
      </c>
      <c r="EE50" t="s">
        <v>1911</v>
      </c>
      <c r="ER50" t="s">
        <v>2371</v>
      </c>
      <c r="ES50" t="s">
        <v>2365</v>
      </c>
    </row>
    <row r="51" spans="1:149">
      <c r="A51" t="str">
        <f>'Translate&amp;Prices&amp;Logo'!$B$31</f>
        <v>Vivaro złota - maksymalna zalecana zalecana długość profilu 2150 mm</v>
      </c>
      <c r="B51">
        <v>2</v>
      </c>
      <c r="C51" t="s">
        <v>662</v>
      </c>
      <c r="D51">
        <v>1</v>
      </c>
      <c r="AB51" t="s">
        <v>2517</v>
      </c>
      <c r="AC51">
        <v>0</v>
      </c>
      <c r="AD51">
        <v>0</v>
      </c>
      <c r="ED51" t="s">
        <v>1756</v>
      </c>
      <c r="EE51" t="s">
        <v>1912</v>
      </c>
      <c r="ER51" t="s">
        <v>2614</v>
      </c>
      <c r="ES51" t="s">
        <v>2606</v>
      </c>
    </row>
    <row r="52" spans="1:149">
      <c r="A52" t="str">
        <f>'Translate&amp;Prices&amp;Logo'!$B$57</f>
        <v>Vivaro złota szczotkowany - maksymalna zalecana zalecana długość profilu 2150 mm</v>
      </c>
      <c r="B52">
        <v>2</v>
      </c>
      <c r="C52" t="s">
        <v>662</v>
      </c>
      <c r="D52">
        <v>0</v>
      </c>
      <c r="AB52" t="s">
        <v>2512</v>
      </c>
      <c r="AC52">
        <v>0</v>
      </c>
      <c r="AD52">
        <v>0</v>
      </c>
      <c r="ED52" t="s">
        <v>1757</v>
      </c>
      <c r="EE52" t="s">
        <v>1913</v>
      </c>
      <c r="ER52" t="s">
        <v>2615</v>
      </c>
      <c r="ES52" t="s">
        <v>2607</v>
      </c>
    </row>
    <row r="53" spans="1:149">
      <c r="A53" t="str">
        <f>'Translate&amp;Prices&amp;Logo'!$B$80</f>
        <v>Rocca elox (lewa i prawa) + Varna elox (góra i dół)</v>
      </c>
      <c r="B53">
        <v>3</v>
      </c>
      <c r="C53" t="s">
        <v>662</v>
      </c>
      <c r="D53">
        <v>0</v>
      </c>
      <c r="AB53" t="s">
        <v>2513</v>
      </c>
      <c r="AC53">
        <v>0</v>
      </c>
      <c r="AD53">
        <v>0</v>
      </c>
      <c r="ED53" t="s">
        <v>1758</v>
      </c>
      <c r="EE53" t="s">
        <v>1914</v>
      </c>
      <c r="ER53" t="s">
        <v>2616</v>
      </c>
      <c r="ES53" t="s">
        <v>2608</v>
      </c>
    </row>
    <row r="54" spans="1:149">
      <c r="A54" t="str">
        <f>'Translate&amp;Prices&amp;Logo'!$B$81</f>
        <v>Rocca czarny (lewa i prawa) + Varna czarny (góra i dół)</v>
      </c>
      <c r="B54">
        <v>3</v>
      </c>
      <c r="C54" t="s">
        <v>662</v>
      </c>
      <c r="D54">
        <v>0</v>
      </c>
      <c r="ED54" t="s">
        <v>1759</v>
      </c>
      <c r="EE54" t="s">
        <v>1915</v>
      </c>
      <c r="ER54" t="s">
        <v>2617</v>
      </c>
      <c r="ES54" t="s">
        <v>2609</v>
      </c>
    </row>
    <row r="55" spans="1:149">
      <c r="A55" t="str">
        <f>'Translate&amp;Prices&amp;Logo'!$B$71</f>
        <v>ROMA czarna matowa -  maksymalna zalecana długość profilu 2696 mm</v>
      </c>
      <c r="B55">
        <v>1</v>
      </c>
      <c r="C55" t="s">
        <v>662</v>
      </c>
      <c r="D55">
        <v>0</v>
      </c>
      <c r="ED55" t="s">
        <v>1760</v>
      </c>
      <c r="EE55" t="s">
        <v>1916</v>
      </c>
      <c r="ER55" t="s">
        <v>2618</v>
      </c>
      <c r="ES55" t="s">
        <v>2610</v>
      </c>
    </row>
    <row r="56" spans="1:149">
      <c r="A56" t="str">
        <f>'Translate&amp;Prices&amp;Logo'!$B$72</f>
        <v>ROMA champagne mat - maksymalna zalecana długość profilu 2696 mm</v>
      </c>
      <c r="B56">
        <v>1</v>
      </c>
      <c r="C56" t="s">
        <v>662</v>
      </c>
      <c r="D56">
        <v>0</v>
      </c>
      <c r="ED56" t="s">
        <v>1761</v>
      </c>
      <c r="EE56" t="s">
        <v>1917</v>
      </c>
      <c r="ER56" t="s">
        <v>2619</v>
      </c>
      <c r="ES56" t="s">
        <v>2611</v>
      </c>
    </row>
    <row r="57" spans="1:149">
      <c r="A57" t="str">
        <f>'Translate&amp;Prices&amp;Logo'!$B$73</f>
        <v>ROMA GRIP czarna matowa - maksymalna zalecana długość profilu 2696 mm</v>
      </c>
      <c r="B57">
        <v>1</v>
      </c>
      <c r="C57" t="s">
        <v>662</v>
      </c>
      <c r="D57">
        <v>0</v>
      </c>
      <c r="ED57" t="s">
        <v>1762</v>
      </c>
      <c r="EE57" t="s">
        <v>1918</v>
      </c>
      <c r="ER57" t="s">
        <v>2348</v>
      </c>
      <c r="ES57" t="s">
        <v>2336</v>
      </c>
    </row>
    <row r="58" spans="1:149">
      <c r="A58" t="str">
        <f>'Translate&amp;Prices&amp;Logo'!$B$74</f>
        <v>ROMA GRIP champagne mat - maksymalna zalecana długość profilu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1864</v>
      </c>
      <c r="ER65" t="s">
        <v>2372</v>
      </c>
      <c r="ES65" t="s">
        <v>2360</v>
      </c>
    </row>
    <row r="66" spans="1:149">
      <c r="ED66" t="s">
        <v>1804</v>
      </c>
      <c r="EE66" t="s">
        <v>1865</v>
      </c>
      <c r="ER66" t="s">
        <v>2373</v>
      </c>
      <c r="ES66" t="s">
        <v>2361</v>
      </c>
    </row>
    <row r="67" spans="1:149">
      <c r="Q67" t="str">
        <f>'Translate&amp;Prices&amp;Logo'!$B$69</f>
        <v>BRW champagne - maksymalna zalecana długość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A17:A29 A32">
    <cfRule type="expression" dxfId="722" priority="717" stopIfTrue="1">
      <formula>AND(COUNTIF($A$35:$A$35, A3)+COUNTIF($A$3:$A$15, A3)+COUNTIF($A$17:$A$29, A3)+COUNTIF($A$32:$A$33, A3)+COUNTIF($A$37:$A$41, A3)+COUNTIF($A$43:$A$48, A3)+COUNTIF($A$50:$A$99, A3)&gt;1,NOT(ISBLANK(A3)))</formula>
    </cfRule>
  </conditionalFormatting>
  <conditionalFormatting sqref="A33 A46:A51 A55:A58 A36:A38 A40:A44 A72:A99 DW346:DW347">
    <cfRule type="expression" dxfId="721" priority="696" stopIfTrue="1">
      <formula>AND(COUNTIF($A$36:$A$38, A33)+COUNTIF($A$3:$A$15, A33)+COUNTIF($A$17:$A$31, A33)+COUNTIF($A$33:$A$34, A33)+COUNTIF($A$40:$A$44, A33)+COUNTIF($A$46:$A$51, A33)+COUNTIF($A$53:$A$99, A33)&gt;1,NOT(ISBLANK(A33)))</formula>
    </cfRule>
  </conditionalFormatting>
  <conditionalFormatting sqref="A33 A51 A55:A58">
    <cfRule type="expression" dxfId="720" priority="3" stopIfTrue="1">
      <formula>AND(COUNTIF($A$51:$A$51, A33)+COUNTIF(#REF!, A33)+COUNTIF($A$33:$A$33, A33)&gt;1,NOT(ISBLANK(A33)))</formula>
    </cfRule>
  </conditionalFormatting>
  <conditionalFormatting sqref="F14:F19">
    <cfRule type="duplicateValues" dxfId="719" priority="18"/>
  </conditionalFormatting>
  <conditionalFormatting sqref="P2:P61 P63:P65536">
    <cfRule type="expression" dxfId="718" priority="34" stopIfTrue="1">
      <formula>AND(COUNTIF($P$63:$P$65536, P2)+COUNTIF($P$2:$P$61, P2)&gt;1,NOT(ISBLANK(P2)))</formula>
    </cfRule>
  </conditionalFormatting>
  <conditionalFormatting sqref="Q2 Q4 Q6:Q12 Q15:Q20 Q22:Q23 Q26:Q54 S27:S30 Q68:Q65536">
    <cfRule type="expression" dxfId="717" priority="44" stopIfTrue="1">
      <formula>AND(COUNTIF($Q$68:$Q$65536, Q2)+COUNTIF($Q$2:$Q$2, Q2)+COUNTIF($Q$4:$Q$4, Q2)+COUNTIF($Q$6:$Q$54, Q2)&gt;1,NOT(ISBLANK(Q2)))</formula>
    </cfRule>
  </conditionalFormatting>
  <conditionalFormatting sqref="R4:R6">
    <cfRule type="duplicateValues" dxfId="716" priority="29"/>
  </conditionalFormatting>
  <conditionalFormatting sqref="R7 R9">
    <cfRule type="duplicateValues" dxfId="715" priority="41"/>
  </conditionalFormatting>
  <conditionalFormatting sqref="R10">
    <cfRule type="duplicateValues" dxfId="714" priority="28"/>
  </conditionalFormatting>
  <conditionalFormatting sqref="R11:R18 R29:R33">
    <cfRule type="duplicateValues" dxfId="713" priority="43"/>
  </conditionalFormatting>
  <conditionalFormatting sqref="R19:R20 R37:R39 R34">
    <cfRule type="duplicateValues" dxfId="712" priority="37"/>
  </conditionalFormatting>
  <conditionalFormatting sqref="R21:R23">
    <cfRule type="duplicateValues" dxfId="711" priority="27"/>
  </conditionalFormatting>
  <conditionalFormatting sqref="R49:R55">
    <cfRule type="duplicateValues" dxfId="710" priority="30"/>
  </conditionalFormatting>
  <conditionalFormatting sqref="R49:R61 R2 R63:R65536">
    <cfRule type="expression" dxfId="709" priority="33" stopIfTrue="1">
      <formula>AND(COUNTIF($R$2:$R$2, R2)+COUNTIF($R$63:$R$65536, R2)+COUNTIF($R$49:$R$61, R2)&gt;1,NOT(ISBLANK(R2)))</formula>
    </cfRule>
  </conditionalFormatting>
  <conditionalFormatting sqref="R56:R57">
    <cfRule type="duplicateValues" dxfId="708" priority="31"/>
  </conditionalFormatting>
  <conditionalFormatting sqref="R58:R61 R63">
    <cfRule type="expression" dxfId="707" priority="35" stopIfTrue="1">
      <formula>AND(COUNTIF($R$63:$R$63, R58)+COUNTIF($R$58:$R$61, R58)&gt;1,NOT(ISBLANK(R58)))</formula>
    </cfRule>
  </conditionalFormatting>
  <conditionalFormatting sqref="S4">
    <cfRule type="duplicateValues" dxfId="706" priority="26"/>
  </conditionalFormatting>
  <conditionalFormatting sqref="S6:S8 S10">
    <cfRule type="duplicateValues" dxfId="705" priority="48"/>
  </conditionalFormatting>
  <conditionalFormatting sqref="S12:S17">
    <cfRule type="duplicateValues" dxfId="704" priority="25"/>
  </conditionalFormatting>
  <conditionalFormatting sqref="S18:S19">
    <cfRule type="duplicateValues" dxfId="703" priority="24"/>
  </conditionalFormatting>
  <conditionalFormatting sqref="S20:S26">
    <cfRule type="duplicateValues" dxfId="702" priority="42"/>
  </conditionalFormatting>
  <conditionalFormatting sqref="S31:S52">
    <cfRule type="duplicateValues" dxfId="701" priority="47"/>
  </conditionalFormatting>
  <conditionalFormatting sqref="T4">
    <cfRule type="duplicateValues" dxfId="700" priority="23"/>
  </conditionalFormatting>
  <conditionalFormatting sqref="U4:U6">
    <cfRule type="duplicateValues" dxfId="699" priority="22"/>
  </conditionalFormatting>
  <conditionalFormatting sqref="U7:U14 U26:U30">
    <cfRule type="duplicateValues" dxfId="698" priority="45"/>
  </conditionalFormatting>
  <conditionalFormatting sqref="U15:U16 U31:U32">
    <cfRule type="duplicateValues" dxfId="697" priority="38"/>
  </conditionalFormatting>
  <conditionalFormatting sqref="U17:U19">
    <cfRule type="duplicateValues" dxfId="696" priority="21"/>
  </conditionalFormatting>
  <conditionalFormatting sqref="V4:V6">
    <cfRule type="duplicateValues" dxfId="695" priority="20"/>
  </conditionalFormatting>
  <conditionalFormatting sqref="V17:V19">
    <cfRule type="duplicateValues" dxfId="694" priority="19"/>
  </conditionalFormatting>
  <conditionalFormatting sqref="V21:V30 V7:V14">
    <cfRule type="duplicateValues" dxfId="693" priority="46"/>
  </conditionalFormatting>
  <conditionalFormatting sqref="V31:V32 V15:V16">
    <cfRule type="duplicateValues" dxfId="692" priority="39"/>
  </conditionalFormatting>
  <conditionalFormatting sqref="AC4:AC13 AC15:AC23 AC29:AC34 AC40:AC41 AC43:AC45 AC50:AC53 AC60:AC63">
    <cfRule type="cellIs" dxfId="691" priority="32" operator="equal">
      <formula>1</formula>
    </cfRule>
  </conditionalFormatting>
  <conditionalFormatting sqref="BQ9:BQ10">
    <cfRule type="duplicateValues" dxfId="690" priority="16"/>
  </conditionalFormatting>
  <conditionalFormatting sqref="BQ2:BR2">
    <cfRule type="duplicateValues" dxfId="689" priority="17"/>
  </conditionalFormatting>
  <conditionalFormatting sqref="DT2:DT44">
    <cfRule type="duplicateValues" dxfId="686" priority="10"/>
  </conditionalFormatting>
  <conditionalFormatting sqref="DT2:DT570">
    <cfRule type="duplicateValues" dxfId="685" priority="5"/>
  </conditionalFormatting>
  <conditionalFormatting sqref="DT45:DT87">
    <cfRule type="duplicateValues" dxfId="684" priority="8"/>
  </conditionalFormatting>
  <conditionalFormatting sqref="DT88:DT130">
    <cfRule type="duplicateValues" dxfId="683" priority="9"/>
  </conditionalFormatting>
  <conditionalFormatting sqref="DT131:DT173">
    <cfRule type="duplicateValues" dxfId="682" priority="11"/>
  </conditionalFormatting>
  <conditionalFormatting sqref="DT174:DT217">
    <cfRule type="duplicateValues" dxfId="681" priority="12"/>
  </conditionalFormatting>
  <conditionalFormatting sqref="DT257:DT287">
    <cfRule type="duplicateValues" dxfId="680" priority="15"/>
  </conditionalFormatting>
  <conditionalFormatting sqref="DU257:DU286">
    <cfRule type="duplicateValues" dxfId="679" priority="14"/>
  </conditionalFormatting>
  <conditionalFormatting sqref="DU287">
    <cfRule type="duplicateValues" dxfId="678" priority="13"/>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6" id="{3ACA994F-9E24-48DA-BB46-3E67AA93EA24}">
            <xm:f>OR(Ram_2!$AU$10=1,Ram_2!$AU$10=3)</xm:f>
            <x14:dxf>
              <fill>
                <patternFill patternType="darkDown"/>
              </fill>
            </x14:dxf>
          </x14:cfRule>
          <xm:sqref>CH13</xm:sqref>
        </x14:conditionalFormatting>
        <x14:conditionalFormatting xmlns:xm="http://schemas.microsoft.com/office/excel/2006/main">
          <x14:cfRule type="expression" priority="7" id="{22049A6E-C00A-4E20-A804-E9799CEA84B6}">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"&amp;3</f>
        <v>Ramka  3</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Wprowadzenie</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IFERROR(IF(kombinace_3!FC2=TRUE,'Translate&amp;Prices&amp;Logo'!B654,IF(VLOOKUP(H8,kombinace_3!$A:$E,5,0)=3,'Translate&amp;Prices&amp;Logo'!B642,"")),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Ramka  1</v>
      </c>
      <c r="C5" s="687"/>
      <c r="D5" s="687"/>
      <c r="E5" s="163"/>
      <c r="F5" s="687" t="str">
        <f>'Translate&amp;Prices&amp;Logo'!$B$169&amp;" "&amp;" "&amp;2</f>
        <v>Ramka  2</v>
      </c>
      <c r="G5" s="687"/>
      <c r="H5" s="687"/>
      <c r="I5" s="15"/>
      <c r="J5" s="687" t="str">
        <f>'Translate&amp;Prices&amp;Logo'!$B$169&amp;" "&amp;" "&amp;3</f>
        <v>Ramka  3</v>
      </c>
      <c r="K5" s="687"/>
      <c r="L5" s="687"/>
      <c r="M5" s="15"/>
      <c r="N5" s="687" t="str">
        <f>'Translate&amp;Prices&amp;Logo'!$B$169&amp;" "&amp;" "&amp;4</f>
        <v>Ramka  4</v>
      </c>
      <c r="O5" s="687"/>
      <c r="P5" s="687"/>
      <c r="Q5" s="15"/>
      <c r="R5" s="687" t="str">
        <f>'Translate&amp;Prices&amp;Logo'!$B$169&amp;" "&amp;" "&amp;5</f>
        <v>Ramka  5</v>
      </c>
      <c r="S5" s="687"/>
      <c r="T5" s="687"/>
      <c r="U5" s="15"/>
      <c r="V5" s="687" t="str">
        <f>'Translate&amp;Prices&amp;Logo'!$B$169&amp;" "&amp;" "&amp;6</f>
        <v>Ramka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Połączenie 2 profili</v>
      </c>
      <c r="C7" s="720"/>
      <c r="D7" s="720"/>
      <c r="E7" s="720"/>
      <c r="F7" s="720"/>
      <c r="G7" s="669" t="str">
        <f>IF(kombinace_3!FC2=TRUE,AB4,"")</f>
        <v/>
      </c>
      <c r="H7" s="669"/>
      <c r="I7" s="669"/>
      <c r="J7" s="669"/>
      <c r="K7" s="669"/>
      <c r="L7" s="669"/>
      <c r="M7" s="669"/>
      <c r="N7" s="669"/>
      <c r="O7" s="669"/>
      <c r="P7" s="669"/>
      <c r="Q7" s="670"/>
      <c r="R7" s="289"/>
      <c r="S7" s="655" t="str">
        <f>'Translate&amp;Prices&amp;Logo'!$B$572</f>
        <v>Ważne informacje:</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VLOOKUP(H8,kombinace_3!$A:$B,2,0)</f>
        <v>2</v>
      </c>
      <c r="AV7" s="198" t="str">
        <f>IF(AU7=2,"Široký",IF(AU7=1,"Úzký",IF(AU7=3,"kombo")))</f>
        <v>Široký</v>
      </c>
    </row>
    <row r="8" spans="1:65" ht="45.6" customHeight="1">
      <c r="A8" s="118"/>
      <c r="B8" s="281" t="str">
        <f>'Translate&amp;Prices&amp;Logo'!$B$653</f>
        <v>Wypełnienie z siatki</v>
      </c>
      <c r="C8" s="282"/>
      <c r="D8" s="282"/>
      <c r="E8" s="283" t="str">
        <f>'Translate&amp;Prices&amp;Logo'!$B$172</f>
        <v>Rodzaj profilu</v>
      </c>
      <c r="F8" s="283"/>
      <c r="G8" s="288"/>
      <c r="H8" s="721"/>
      <c r="I8" s="721"/>
      <c r="J8" s="721"/>
      <c r="K8" s="721"/>
      <c r="L8" s="721"/>
      <c r="M8" s="721"/>
      <c r="N8" s="721"/>
      <c r="O8" s="721"/>
      <c r="P8" s="721"/>
      <c r="Q8" s="722"/>
      <c r="R8" s="290"/>
      <c r="S8" s="706">
        <f>IF(AU10&gt;0,'Translate&amp;Prices&amp;Logo'!B303,IF(H8=kombinace_3!A54,'Translate&amp;Prices&amp;Logo'!B580,0))</f>
        <v>0</v>
      </c>
      <c r="T8" s="707"/>
      <c r="U8" s="707"/>
      <c r="V8" s="707"/>
      <c r="W8" s="707"/>
      <c r="X8" s="707"/>
      <c r="Y8" s="708"/>
      <c r="Z8" s="137"/>
      <c r="AA8" s="133"/>
      <c r="AB8" s="15"/>
      <c r="AC8" s="637" t="str">
        <f>'Translate&amp;Prices&amp;Logo'!$B$242</f>
        <v>Odległość od krawędzi</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IFERROR(IF(AND(VLOOKUP(H8,kombinace_3!$A:$D,4,0)=1,kombinace_3!FC2=FALSE),'Translate&amp;Prices&amp;Logo'!$B$543,0),0)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Rozstaw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IFERROR((VLOOKUP(H12,kombinace_3!$DP$2:$DQ$3,2,0)),"")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Odległość od górnej krawędzi</v>
      </c>
      <c r="AF10" s="15"/>
      <c r="AG10" s="15"/>
      <c r="AH10" s="15"/>
      <c r="AI10" s="117"/>
      <c r="AJ10" s="118"/>
      <c r="AK10" s="15"/>
      <c r="AL10" s="15"/>
      <c r="AM10" s="15"/>
      <c r="AN10" s="15"/>
      <c r="AO10" s="15"/>
      <c r="AP10" s="134"/>
      <c r="AQ10" s="373"/>
      <c r="AR10" s="15"/>
      <c r="AS10" s="15"/>
      <c r="AT10" s="197" t="s">
        <v>1306</v>
      </c>
      <c r="AU10" s="198">
        <f>IFERROR(VLOOKUP(H9,kombinace_3!$BY$13:$BZ$15,2,0),0)</f>
        <v>0</v>
      </c>
      <c r="AV10" s="198"/>
    </row>
    <row r="11" spans="1:65" ht="18" customHeight="1">
      <c r="A11" s="118"/>
      <c r="B11" s="695" t="str">
        <f>('Translate&amp;Prices&amp;Logo'!$B$543)&amp;" "&amp;"("&amp;'Translate&amp;Prices&amp;Logo'!$B$174&amp;")"</f>
        <v>Szprosy (Ilość sztuk)</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IFERROR(IF(kombinace_3!$H$1=TRUE,BA2+AY3,0),0)</f>
        <v>0</v>
      </c>
      <c r="AU11" s="204"/>
      <c r="AV11" s="198"/>
    </row>
    <row r="12" spans="1:65" ht="18" customHeight="1">
      <c r="A12" s="118"/>
      <c r="B12" s="638" t="str">
        <f>'Translate&amp;Prices&amp;Logo'!$B$258</f>
        <v>Typ okucia</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Marka okucia</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Rozstaw  mm</v>
      </c>
      <c r="AE14" s="645"/>
      <c r="AF14" s="15"/>
      <c r="AG14" s="15"/>
      <c r="AH14" s="15"/>
      <c r="AI14" s="117"/>
      <c r="AJ14" s="118"/>
      <c r="AK14" s="15"/>
      <c r="AL14" s="15"/>
      <c r="AM14" s="682" t="str">
        <f>('Translate&amp;Prices&amp;Logo'!$B$548)&amp;" "&amp;H26&amp;" "&amp;"mm"</f>
        <v>Rozstaw  mm</v>
      </c>
      <c r="AN14" s="15"/>
      <c r="AO14" s="138"/>
      <c r="AP14" s="131"/>
      <c r="AQ14" s="373"/>
      <c r="AR14" s="729"/>
      <c r="AS14" s="15"/>
      <c r="AT14" s="204"/>
      <c r="AU14" s="198"/>
      <c r="AV14" s="198"/>
      <c r="AW14" s="223" t="s">
        <v>2322</v>
      </c>
    </row>
    <row r="15" spans="1:65" ht="18" customHeight="1" thickBot="1">
      <c r="A15" s="118"/>
      <c r="B15" s="638" t="str">
        <f>'Translate&amp;Prices&amp;Logo'!$B$545</f>
        <v>Wariant okucia</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IF(H15=kombinace_3!AB40,'Translate&amp;Prices&amp;Logo'!$B$224,IF(H15=kombinace_3!AB41,'Translate&amp;Prices&amp;Logo'!$B$224,IF(H12='závěsy dle výklopu'!BQ2,'Translate&amp;Prices&amp;Logo'!$B$222,'Translate&amp;Prices&amp;Logo'!$B$218)))</f>
        <v>Wybierz pozycję ramki</v>
      </c>
      <c r="C16" s="694"/>
      <c r="D16" s="694"/>
      <c r="E16" s="694"/>
      <c r="F16" s="692"/>
      <c r="G16" s="692"/>
      <c r="H16" s="692"/>
      <c r="I16" s="692"/>
      <c r="J16" s="712" t="str">
        <f>IF(OR(H15=kombinace_3!AB40,H15=kombinace_3!AB7,H15=kombinace_3!AB15,H15=kombinace_3!AB20,H15=kombinace_3!AB21,H15=kombinace_3!AB22),'Translate&amp;Prices&amp;Logo'!$B$226,IF(H15=kombinace_3!AB41,'Translate&amp;Prices&amp;Logo'!$B$226,'Translate&amp;Prices&amp;Logo'!$B$232))</f>
        <v>Rodzaj drugiej ramki</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IF(H12='Translate&amp;Prices&amp;Logo'!B551,'Translate&amp;Prices&amp;Logo'!B238,IF(H15=kombinace_3!AB8,'Translate&amp;Prices&amp;Logo'!B284,0))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IF(H13="Salice",VLOOKUP(H17,kombinace_3!$BY:$BZ,2,0),0)</f>
        <v>0</v>
      </c>
    </row>
    <row r="18" spans="1:52" ht="18" customHeight="1">
      <c r="A18" s="118"/>
      <c r="B18" s="638">
        <f>IFERROR(IF(VLOOKUP(H15,kombinace_3!CD:CE,2,0)=1,'Translate&amp;Prices&amp;Logo'!$B$547,0),0)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IFERROR(IF(H12='Translate&amp;Prices&amp;Logo'!B551,'Translate&amp;Prices&amp;Logo'!$B$223,IF(VLOOKUP(H15,kombinace_3!CD:CE,2,0)=1,'Translate&amp;Prices&amp;Logo'!$B$223,)),0)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Odległość od dolnej krawędzi</v>
      </c>
      <c r="AM19" s="682"/>
      <c r="AN19" s="673">
        <v>0</v>
      </c>
      <c r="AO19" s="673"/>
      <c r="AP19" s="133"/>
      <c r="AQ19" s="373"/>
      <c r="AR19" s="728" t="str">
        <f>'Translate&amp;Prices&amp;Logo'!$B$176</f>
        <v>Wysokość</v>
      </c>
      <c r="AS19" s="15"/>
      <c r="AT19" s="204"/>
      <c r="AU19" s="196">
        <f>IFERROR(IF(H12='závěsy dle výklopu'!BR2,VLOOKUP(H15,kombinace_3!$CD$3:$CF$18,3,0),IF(H12='závěsy dle výklopu'!BQ2,1,0)),0)</f>
        <v>0</v>
      </c>
      <c r="AV19" s="198">
        <f>IFERROR(VLOOKUP(H15,kombinace_3!$CD:$CF,3,0),0)</f>
        <v>0</v>
      </c>
    </row>
    <row r="20" spans="1:52" ht="18" customHeight="1">
      <c r="A20" s="118"/>
      <c r="B20" s="697">
        <f>IF(H13&lt;&gt;"Salice",(IFERROR('Translate&amp;Prices&amp;Logo'!$B$242&amp;" "&amp;(VLOOKUP(H17,kombinace_3!$BY$32:$CA$35,2,0)),0)),0)</f>
        <v>0</v>
      </c>
      <c r="C20" s="636"/>
      <c r="D20" s="636"/>
      <c r="E20" s="636"/>
      <c r="F20" s="691">
        <v>100</v>
      </c>
      <c r="G20" s="691"/>
      <c r="H20" s="691"/>
      <c r="I20" s="691"/>
      <c r="J20" s="636">
        <f>IFERROR('Translate&amp;Prices&amp;Logo'!$B$242&amp;" "&amp;(VLOOKUP(H17,kombinace_3!$BY$32:$CA$35,3,0)),0)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IF(kombinace_3!FC2=FALSE,'Translate&amp;Prices&amp;Logo'!$B$173," ")</f>
        <v>Rodzaj szkła</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Nie zmieniaj po wybraniu rodzaj szkła/siatka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VLOOKUP(H17,kombinace_3!$BY$3:$BZ$6,2,0)</f>
        <v>#N/A</v>
      </c>
      <c r="AV23" s="198"/>
    </row>
    <row r="24" spans="1:52" ht="18" customHeight="1">
      <c r="A24" s="118"/>
      <c r="B24" s="667" t="str">
        <f>'Translate&amp;Prices&amp;Logo'!$B$562</f>
        <v>Rodzaj folii</v>
      </c>
      <c r="C24" s="668"/>
      <c r="D24" s="668"/>
      <c r="E24" s="668"/>
      <c r="F24" s="668"/>
      <c r="G24" s="155"/>
      <c r="H24" s="684"/>
      <c r="I24" s="684"/>
      <c r="J24" s="684"/>
      <c r="K24" s="684"/>
      <c r="L24" s="684"/>
      <c r="M24" s="684"/>
      <c r="N24" s="684"/>
      <c r="O24" s="684"/>
      <c r="P24" s="684"/>
      <c r="Q24" s="685"/>
      <c r="R24" s="118"/>
      <c r="S24" s="655" t="str">
        <f>'Translate&amp;Prices&amp;Logo'!$B$177</f>
        <v>Uwagi (notatki)</v>
      </c>
      <c r="T24" s="655"/>
      <c r="U24" s="655"/>
      <c r="Z24" s="137"/>
      <c r="AA24" s="135"/>
      <c r="AB24" s="136"/>
      <c r="AC24" s="637" t="str">
        <f>'Translate&amp;Prices&amp;Logo'!$B$242</f>
        <v>Odległość od krawędzi</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Rodzaj szkła/siatka</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Rozstaw  mm</v>
      </c>
      <c r="AG25" s="683"/>
      <c r="AH25" s="683"/>
      <c r="AI25" s="683"/>
      <c r="AJ25" s="683"/>
      <c r="AK25" s="683"/>
      <c r="AL25" s="680"/>
      <c r="AM25" s="681"/>
      <c r="AN25" s="15"/>
      <c r="AO25" s="137"/>
      <c r="AP25" s="140"/>
      <c r="AQ25" s="373"/>
      <c r="AR25" s="15"/>
      <c r="AS25" s="15"/>
      <c r="AT25" s="204"/>
      <c r="AU25" s="198" t="e">
        <f>VLOOKUP(H27,kombinace_3!$BY:$BZ,2,0)</f>
        <v>#N/A</v>
      </c>
      <c r="AV25" s="198"/>
    </row>
    <row r="26" spans="1:52" ht="18" customHeight="1">
      <c r="A26" s="118"/>
      <c r="B26" s="638" t="str">
        <f>'Translate&amp;Prices&amp;Logo'!$B$549</f>
        <v>Rozstaw uchwytu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Umieszczenie uchwytu</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Ilość sztuk</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VLOOKUP(H14,kombinace_3!$DN$7:$DO$24,2,0)</f>
        <v>#N/A</v>
      </c>
      <c r="AB29" s="679">
        <f>IF(kombinace_3!FC2=TRUE,AB4,IF(H12='závěsy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Cena ramek</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zl</v>
      </c>
      <c r="Q30" s="657"/>
      <c r="R30" s="118"/>
      <c r="S30" s="649"/>
      <c r="T30" s="650"/>
      <c r="U30" s="650"/>
      <c r="V30" s="650"/>
      <c r="W30" s="650"/>
      <c r="X30" s="650"/>
      <c r="Y30" s="651"/>
      <c r="Z30" s="15"/>
      <c r="AA30" s="15"/>
      <c r="AB30" s="118"/>
      <c r="AC30" s="15"/>
      <c r="AD30" s="15"/>
      <c r="AE30" s="15"/>
      <c r="AF30" s="678" t="str">
        <f>'Translate&amp;Prices&amp;Logo'!$B$175</f>
        <v>Szerokość</v>
      </c>
      <c r="AG30" s="678"/>
      <c r="AH30" s="678"/>
      <c r="AI30" s="671"/>
      <c r="AJ30" s="671"/>
      <c r="AK30" s="671"/>
      <c r="AL30" s="15"/>
      <c r="AM30" s="15"/>
      <c r="AN30" s="15"/>
      <c r="AO30" s="15"/>
      <c r="AP30" s="15"/>
      <c r="AQ30" s="15"/>
      <c r="AR30" s="15"/>
      <c r="AS30" s="15"/>
      <c r="AT30" s="204"/>
      <c r="AU30" s="196" t="e">
        <f>HLOOKUP("_Úzký_dolny_K12",kombinace_3!CV2:CW19,3,FALSE)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Podsumowanie</v>
      </c>
      <c r="AP31" s="727"/>
      <c r="AQ31" s="727"/>
      <c r="AR31" s="727"/>
      <c r="AS31" s="15"/>
      <c r="AT31" s="204"/>
      <c r="AU31" s="196" t="str">
        <f>AD44</f>
        <v>_Široký_</v>
      </c>
    </row>
    <row r="32" spans="1:52" ht="17.25" customHeight="1">
      <c r="A32" s="118"/>
      <c r="B32" s="688" t="str">
        <f>'Translate&amp;Prices&amp;Logo'!$B$171</f>
        <v>Podane ceny nie zawierają podatku VAT ani nie zawierają ceny okuć!</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 xml:space="preserve">Ramki aluminiowe bez szkła dostarczane są w stanie rozmontowanym. </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IF(kombinace_3!V1=2,((AR14/1000)*(AI30/1000))*'Translate&amp;Prices&amp;Logo'!C94,0)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IF(kombinace_3!$V$1=3,IFERROR(((VLOOKUP(H24,'Translate&amp;Prices&amp;Logo'!B91:C93,2,0))*(AR14/1000)),0),0)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IF(kombinace_3!FC2=TRUE,_profily_síťka,IF(kombinace_3!H1=TRUE,_kombinovane_profily,_vše_profily))</f>
        <v>BRW (elox.) - maksymalna zalecana długość profilu 2500 mm</v>
      </c>
      <c r="L36" s="215" t="str">
        <f t="array" ref="L36:M36">IF(kombinace_3!H1=TRUE,'závěsy dle výklopu'!$BQ$2:$BR$2,
IF(H8=kombinace_3!A34,'závěsy dle výklopu'!$BQ$2,IF(H8=kombinace_3!A35,'závěsy dle výklopu'!$BQ$2,IF(H8=kombinace_3!A55,'závěsy dle výklopu'!$BQ$2,IF(H8=kombinace_3!A56,'závěsy dle výklopu'!$BQ$2,IF(H8=kombinace_3!A57,'závěsy dle výklopu'!$BQ$2,IF(H8=kombinace_3!A58,'závěsy dle výklopu'!$BQ$2,'závěsy dle výklopu'!$BQ$2:$BR$2)))))))</f>
        <v>Zawiasy</v>
      </c>
      <c r="M36" s="215" t="str">
        <v>Zawiasy</v>
      </c>
      <c r="P36" s="215" t="str" cm="1">
        <f t="array" ref="P36:P38">IF(H13=kombinace_3!BQ11,kombinace_3!$DN$2,kombinace_3!$DN$2:$DN$4)</f>
        <v>Nakładany</v>
      </c>
      <c r="T36" s="215">
        <f t="array" aca="1" ref="T36:T44" ca="1">IF(H13=kombinace_3!BQ11,
  kombinace_3!$FA$2:$FA$9,
  IF(AND(OR(H8=kombinace_3!A34,H8=kombinace_3!A35),H13='závěsy dle výklopu'!BQ4),
    INDIRECT(VLOOKUP(AD42&amp;"_Rocca",kombinace_3!$ER$1:$ES$108,2,0)),
    IF($AU$9=2,
      INDIRECT(VLOOKUP(AD42,kombinace_3!$ER$1:$ES$108,2,0)),
      IF($AU$9=3,
        INDIRECT(VLOOKUP($T$47,kombinace_3!$AA$1:$AB$100,2,0)),
      $Y$48)
    )
  )
)</f>
        <v>0</v>
      </c>
      <c r="AF36" s="215" t="e">
        <f>HLOOKUP($AD$44,'závěsy dle výklopu'!$CG$4:$EZ$10,2,0)</f>
        <v>#N/A</v>
      </c>
      <c r="AJ36" s="215">
        <f t="array" ref="AJ36:AJ40">IF(AM19&lt;2100,kombinace_3!BY8:BY12,kombinace_3!BY8:BY12)</f>
        <v>2</v>
      </c>
      <c r="AW36" s="313"/>
      <c r="AX36" s="313"/>
      <c r="AY36" s="313"/>
    </row>
    <row r="37" spans="1:58" s="215" customFormat="1" ht="15" hidden="1" customHeight="1">
      <c r="A37" s="198"/>
      <c r="B37" s="215" t="str">
        <v>BRW bialy matowy RAL 9003 - maksymalna zalecana długość profilu 2500 mm</v>
      </c>
      <c r="P37" s="215" t="str">
        <v>Półnakładany</v>
      </c>
      <c r="T37" s="215">
        <f ca="1"/>
        <v>0</v>
      </c>
      <c r="W37" s="215" t="str" cm="1">
        <f t="array" ref="W37">IF(Hlavní!$V$39=3,"",'Translate&amp;Prices&amp;Logo'!B556:B557)</f>
        <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bialy połysk RAL 9003 - maksymalna zalecana długość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Wpuszczany</v>
      </c>
      <c r="T38" s="215">
        <f ca="1"/>
        <v>0</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szczotkowany - maksymalna zalecana długość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Czarny matowy - maksymalna zalecana długość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czarna szczotka - maksymalna zalecana długość profilu 2500 mm</v>
      </c>
      <c r="L41" s="215" t="str">
        <v xml:space="preserve">Kesseböhmer </v>
      </c>
      <c r="T41" s="215">
        <f ca="1"/>
        <v>0</v>
      </c>
      <c r="U41" s="215">
        <f>IF(Hlavní!$V$39=3,1,2)</f>
        <v>1</v>
      </c>
      <c r="AE41" s="215">
        <f>AF41</f>
        <v>0</v>
      </c>
      <c r="AH41" s="339"/>
      <c r="AI41" s="340" t="s">
        <v>3692</v>
      </c>
      <c r="AJ41" s="340" t="s">
        <v>3693</v>
      </c>
      <c r="AS41" s="215" t="s">
        <v>1316</v>
      </c>
      <c r="AW41" s="313"/>
      <c r="AX41" s="313"/>
      <c r="AY41" s="313"/>
    </row>
    <row r="42" spans="1:58" s="215" customFormat="1" ht="18.600000000000001" hidden="1" customHeight="1">
      <c r="A42" s="198"/>
      <c r="B42" s="215" t="str">
        <v>BRW acier grata - maksymalna zalecana długość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antracyt RAL 7021 - maksymalna zalecana długość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maksymalna zalecana długość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maksymalna zalecana długość profilu 2500 mm</v>
      </c>
      <c r="M45" s="215" t="s">
        <v>2637</v>
      </c>
      <c r="N45" s="215" t="s">
        <v>1134</v>
      </c>
      <c r="AS45" s="191"/>
      <c r="AW45" s="313"/>
      <c r="AX45" s="313"/>
      <c r="AY45" s="313"/>
    </row>
    <row r="46" spans="1:58" s="215" customFormat="1" ht="14.85" hidden="1" customHeight="1">
      <c r="A46" s="198"/>
      <c r="B46" s="215" t="str">
        <v>BRW brąz - maksymalna zalecana długość profilu 2500 mm</v>
      </c>
      <c r="M46" s="215" t="s">
        <v>4509</v>
      </c>
    </row>
    <row r="47" spans="1:58" s="215" customFormat="1" ht="14.85" hidden="1" customHeight="1">
      <c r="A47" s="198"/>
      <c r="B47" s="215" t="str">
        <v>BRW INOX (stal nierdzewna) - maksymalna zalecana długość profilu 2500 mm</v>
      </c>
      <c r="M47" s="215" t="s">
        <v>4510</v>
      </c>
      <c r="T47" s="215" t="str">
        <f>CONCATENATE(H13,"_",VLOOKUP(kombinace_3!H1,kombinace_3!$J$14:$K$15,2,0))</f>
        <v>_2</v>
      </c>
      <c r="AI47" s="169"/>
      <c r="AJ47" s="335"/>
      <c r="AN47" s="723"/>
      <c r="AO47" s="723"/>
      <c r="AP47" s="723"/>
      <c r="AQ47" s="723"/>
    </row>
    <row r="48" spans="1:58" s="215" customFormat="1" ht="14.85" hidden="1" customHeight="1">
      <c r="A48" s="198"/>
      <c r="B48" s="215" t="str">
        <v>BRW złota- maksymalna zalecana długość profilu 2500 mm</v>
      </c>
      <c r="T48" s="215" t="e">
        <f>VLOOKUP(AD42,kombinace_3!ER:ES,2,0)</f>
        <v>#N/A</v>
      </c>
      <c r="AS48"/>
      <c r="AT48"/>
    </row>
    <row r="49" spans="1:46" s="215" customFormat="1" ht="14.85" hidden="1" customHeight="1">
      <c r="A49" s="198"/>
      <c r="B49" s="215" t="str">
        <v>BRW złota szczotkowany - maksymalna zalecana zalecana długość profilu 2500 mm</v>
      </c>
      <c r="AS49"/>
      <c r="AT49"/>
    </row>
    <row r="50" spans="1:46" s="215" customFormat="1" ht="14.85" hidden="1" customHeight="1">
      <c r="A50" s="198"/>
      <c r="B50" s="215" t="str">
        <v>Corleone (elox.)- maksymalna zalecana długość profilu 1500 mm</v>
      </c>
      <c r="AS50"/>
      <c r="AT50"/>
    </row>
    <row r="51" spans="1:46" s="215" customFormat="1" ht="14.85" hidden="1" customHeight="1">
      <c r="A51" s="198"/>
      <c r="B51" s="215" t="str">
        <v>Corleone czarny matowy - maksymalna zalecana długość profilu 1500 mm</v>
      </c>
      <c r="AS51"/>
      <c r="AT51"/>
    </row>
    <row r="52" spans="1:46" s="215" customFormat="1" ht="14.85" hidden="1" customHeight="1">
      <c r="A52" s="198"/>
      <c r="B52" s="215" t="str">
        <v>ASTI  czarne  - maksymalna zalecana długość profilu 2150</v>
      </c>
      <c r="AS52"/>
      <c r="AT52"/>
    </row>
    <row r="53" spans="1:46" s="215" customFormat="1" ht="14.85" hidden="1" customHeight="1">
      <c r="A53" s="198"/>
      <c r="B53" s="215" t="str">
        <v>ASTI  antracyt mat RAL 7021 mat lakier - maksymalna zalecana długość profilu 2500 mm</v>
      </c>
      <c r="AS53"/>
      <c r="AT53"/>
    </row>
    <row r="54" spans="1:46" s="215" customFormat="1" ht="14.85" hidden="1" customHeight="1">
      <c r="A54" s="198"/>
      <c r="B54" s="215" t="str">
        <v>Imola (elox.) - maksymalna zalecana długość profilu 2500 mm</v>
      </c>
      <c r="K54" s="215" t="str">
        <f t="array" ref="K54:K58">IF(OR($H$15=kombinace_3!AB40,$H$15=kombinace_3!AB7,$H$15=kombinace_3!AB15,$H$15=kombinace_3!AB20,$H$15=kombinace_3!AB21,$H$15=kombinace_3!AB22),'Translate&amp;Prices&amp;Logo'!$B$229:$B$231,IF($H$15=kombinace_3!AB41,'Translate&amp;Prices&amp;Logo'!$B$229:$B$231,'Translate&amp;Prices&amp;Logo'!$B$233:$B$237))</f>
        <v>Wąska ALU ramka</v>
      </c>
      <c r="T54" s="215" t="str">
        <f t="array" ref="T54:T56">kombinace_3!$EN$3:$EN$5</f>
        <v>Bez modyfikacji</v>
      </c>
      <c r="U54" s="215">
        <v>1</v>
      </c>
      <c r="X54" s="215" t="str">
        <f t="array" ref="X54:X56">kombinace_3!$X$3:$X$5</f>
        <v>transparentna</v>
      </c>
      <c r="AD54" s="215" t="str">
        <f t="array" aca="1" ref="AD54:AD97" ca="1">IF(kombinace_3!FC2=FALSE,
IF(OR(H8=kombinace_3!A17,H8=kombinace_3!A18,H8=kombinace_3!A25,H8=kombinace_3!A26,H8=kombinace_3!A27,H8=kombinace_3!A28),_corleone,INDIRECT(kombinace_3!S1)),
IF(kombinace_3!FC2=TRUE,INDIRECT(VLOOKUP(Ram_1!H8,'závěsy dle výklopu'!A81:B90,2,0)),0))</f>
        <v>Czyste</v>
      </c>
      <c r="AS54"/>
      <c r="AT54"/>
    </row>
    <row r="55" spans="1:46" s="215" customFormat="1" ht="14.85" hidden="1" customHeight="1">
      <c r="A55" s="198"/>
      <c r="B55" s="215" t="str">
        <v>Imola Czarny matowy - maksymalna zalecana długość profilu 2500 mm</v>
      </c>
      <c r="K55" s="215" t="str">
        <v>Szeroka ALU ramka</v>
      </c>
      <c r="T55" s="215" t="str">
        <v>Hartowane (termin dostawy 4 tygodnie)</v>
      </c>
      <c r="U55" s="215">
        <v>2</v>
      </c>
      <c r="X55" s="215" t="str">
        <v>Biała</v>
      </c>
      <c r="AD55" s="215" t="str">
        <f ca="1"/>
        <v xml:space="preserve">Satinato </v>
      </c>
      <c r="AS55"/>
      <c r="AT55"/>
    </row>
    <row r="56" spans="1:46" s="215" customFormat="1" ht="14.85" hidden="1" customHeight="1">
      <c r="A56" s="198"/>
      <c r="B56" s="215" t="str">
        <v>Imola bialy matowy RAL 9003 - maksymalna zalecana długość profilu 2500 mm</v>
      </c>
      <c r="K56" s="215" t="str">
        <v>MDF grubość 16mm</v>
      </c>
      <c r="T56" s="215" t="str">
        <v>Folia</v>
      </c>
      <c r="U56" s="215">
        <v>3</v>
      </c>
      <c r="X56" s="215" t="str">
        <v>czarna</v>
      </c>
      <c r="AD56" s="215" t="str">
        <f ca="1"/>
        <v xml:space="preserve">Satinato brązowe/Decormat Braz </v>
      </c>
    </row>
    <row r="57" spans="1:46" s="215" customFormat="1" ht="14.85" hidden="1" customHeight="1">
      <c r="A57" s="198"/>
      <c r="B57" s="215" t="str">
        <v>Imola złota - maksymalna zalecana zalecana długość profilu 2150 mm</v>
      </c>
      <c r="K57" s="215" t="str">
        <v>MDF grubość 18mm</v>
      </c>
      <c r="AD57" s="215" t="str">
        <f ca="1"/>
        <v xml:space="preserve">Satinato grafit  Decormat grafit </v>
      </c>
    </row>
    <row r="58" spans="1:46" s="215" customFormat="1" ht="14.85" hidden="1" customHeight="1">
      <c r="A58" s="198"/>
      <c r="B58" s="215" t="str">
        <v>Modena (elox.) - maksymalna zalecana długość profilu 2500 mm</v>
      </c>
      <c r="K58" s="215" t="str">
        <v>Płyta melaminowana grubość 18mm</v>
      </c>
      <c r="AD58" s="215" t="str">
        <f ca="1"/>
        <v xml:space="preserve">MASTER SOFT </v>
      </c>
    </row>
    <row r="59" spans="1:46" s="215" customFormat="1" ht="14.85" hidden="1" customHeight="1">
      <c r="A59" s="198"/>
      <c r="B59" s="215" t="str">
        <v>Modena Czarny matowy - maksymalna zalecana długość profilu 2500 mm</v>
      </c>
      <c r="T59" s="215">
        <f>IFERROR(VLOOKUP($H$21,$T$54:$U$56,2,0),0)</f>
        <v>0</v>
      </c>
      <c r="AD59" s="215" t="str">
        <f ca="1"/>
        <v xml:space="preserve">MASTER FLEX </v>
      </c>
    </row>
    <row r="60" spans="1:46" s="215" customFormat="1" ht="14.85" hidden="1" customHeight="1">
      <c r="A60" s="198"/>
      <c r="B60" s="215" t="str">
        <v>Modena czarna szczotka - maksymalna zalecana długość profilu 2500 mm</v>
      </c>
      <c r="K60" s="215" t="b">
        <f>K56=K61</f>
        <v>0</v>
      </c>
      <c r="AD60" s="215" t="str">
        <f ca="1"/>
        <v xml:space="preserve">Master (Carre) </v>
      </c>
    </row>
    <row r="61" spans="1:46" s="215" customFormat="1" ht="14.85" hidden="1" customHeight="1">
      <c r="A61" s="198"/>
      <c r="B61" s="215" t="str">
        <v>Modena INOX (stal nierdzewna) - maksymalna zalecana długość profilu 2500 mm</v>
      </c>
      <c r="H61" s="215" t="str">
        <f>'Translate&amp;Prices&amp;Logo'!$B$186</f>
        <v>Dolne drzwi</v>
      </c>
      <c r="K61" s="215" t="str">
        <f>'Translate&amp;Prices&amp;Logo'!$B$231</f>
        <v>2 sztuki (obydwie strony)</v>
      </c>
      <c r="AD61" s="215" t="str">
        <f ca="1"/>
        <v xml:space="preserve">Master  Ligne poziomo </v>
      </c>
    </row>
    <row r="62" spans="1:46" s="215" customFormat="1" ht="14.85" hidden="1" customHeight="1">
      <c r="A62" s="198"/>
      <c r="B62" s="215" t="str">
        <v>Pisa (elox.) - maksymalna zalecana długość profilu 2500 mm</v>
      </c>
      <c r="AD62" s="215" t="str">
        <f ca="1"/>
        <v xml:space="preserve">Master  Ligne pionowo </v>
      </c>
    </row>
    <row r="63" spans="1:46" s="215" customFormat="1" ht="14.85" hidden="1" customHeight="1">
      <c r="A63" s="198"/>
      <c r="B63" s="215" t="str">
        <v>Pisa biały matowy RAL 9003 - maksymalna zalecana zalecana długość profilu 2500 mm</v>
      </c>
      <c r="AD63" s="215" t="str">
        <f ca="1"/>
        <v xml:space="preserve">Master  Point </v>
      </c>
    </row>
    <row r="64" spans="1:46" s="215" customFormat="1" ht="14.85" hidden="1" customHeight="1">
      <c r="A64" s="198"/>
      <c r="B64" s="215" t="str">
        <v>Pisa biały połysk RAL 9003 - maksymalna zalecana zalecana długość profilu 2500 mm</v>
      </c>
      <c r="AD64" s="215" t="str">
        <f ca="1"/>
        <v>Masterscreen - maksymalne wymiary 2160 x 1650 mm</v>
      </c>
    </row>
    <row r="65" spans="1:30" s="215" customFormat="1" ht="14.85" hidden="1" customHeight="1">
      <c r="A65" s="198"/>
      <c r="B65" s="215" t="str">
        <v>Pisa Czarny matowy - maksymalna zalecana długość profilu 2500 mm</v>
      </c>
      <c r="H65" s="74" t="str">
        <f>'rozpad závěsů bez prázdn. řádků'!$K$1</f>
        <v>krzyżakowy, wkręt</v>
      </c>
      <c r="I65" s="217">
        <v>6</v>
      </c>
      <c r="J65" s="73" t="e">
        <f>VLOOKUP($H$15,'rozpad závěsů bez prázdn. řádků'!$G$2:$X$66,I65,0)</f>
        <v>#N/A</v>
      </c>
      <c r="O65" s="215" t="str" cm="1">
        <f t="array" ref="O65:O66">IF($H$15=kombinace_3!$AB$40,_strong_vzpera_horni,IF($H$15=kombinace_3!$AB$41,_stronglift_klopna,IF($H$12='závěsy dle výklopu'!$BQ$2,$J$65:$J$71,'Translate&amp;Prices&amp;Logo'!$B$185:$B$186)))</f>
        <v>Górne drzwi</v>
      </c>
      <c r="AD65" s="215" t="str">
        <f ca="1"/>
        <v xml:space="preserve">Venus VG10 </v>
      </c>
    </row>
    <row r="66" spans="1:30" s="215" customFormat="1" ht="14.85" hidden="1" customHeight="1">
      <c r="A66" s="198"/>
      <c r="B66" s="215" t="str">
        <v>Pisa złota - maksymalna zalecana długość profilu 2150 mm</v>
      </c>
      <c r="H66" s="74" t="str">
        <f>'rozpad závěsů bez prázdn. řádků'!$M$1</f>
        <v>na wkręt (z mimośrodem)</v>
      </c>
      <c r="I66" s="217">
        <v>8</v>
      </c>
      <c r="J66" s="73" t="e">
        <f>VLOOKUP($H$15,'rozpad závěsů bez prázdn. řádků'!$G$2:$X$66,I66,0)</f>
        <v>#N/A</v>
      </c>
      <c r="O66" s="215" t="str">
        <v>Dolne drzwi</v>
      </c>
      <c r="AD66" s="215" t="str">
        <f ca="1"/>
        <v>Stopsol brąz - maksymalne wymiary 2250 x 1605 mm</v>
      </c>
    </row>
    <row r="67" spans="1:30" s="215" customFormat="1" ht="14.85" hidden="1" customHeight="1">
      <c r="A67" s="198"/>
      <c r="B67" s="215" t="str">
        <v>Rocca (elox.) - maksymalna zalecana zalecana długość profilu 2150 mm</v>
      </c>
      <c r="H67" s="74" t="str">
        <f>'rozpad závěsů bez prázdn. řádků'!$O$1</f>
        <v>krzyżakowy eurowkręt</v>
      </c>
      <c r="I67" s="217">
        <v>10</v>
      </c>
      <c r="J67" s="73" t="e">
        <f>VLOOKUP($H$15,'rozpad závěsů bez prázdn. řádků'!$G$2:$X$66,I67,0)</f>
        <v>#N/A</v>
      </c>
      <c r="AD67" s="215" t="str">
        <f ca="1"/>
        <v xml:space="preserve">Antisol brąz </v>
      </c>
    </row>
    <row r="68" spans="1:30" s="215" customFormat="1" ht="14.85" hidden="1" customHeight="1">
      <c r="A68" s="198"/>
      <c r="B68" s="215" t="str">
        <v>Rocca czarny matowy - maksymalna zalecana zalecana długość profilu 2150 mm</v>
      </c>
      <c r="H68" s="74" t="str">
        <f>'rozpad závěsů bez prázdn. řádků'!$Q$1</f>
        <v>krzyżakowy expando</v>
      </c>
      <c r="I68" s="217">
        <v>12</v>
      </c>
      <c r="J68" s="73" t="e">
        <f>VLOOKUP($H$15,'rozpad závěsů bez prázdn. řádků'!$G$2:$X$66,I68,0)</f>
        <v>#N/A</v>
      </c>
      <c r="AD68" s="215" t="str">
        <f ca="1"/>
        <v xml:space="preserve">Antisol grafit </v>
      </c>
    </row>
    <row r="69" spans="1:30" s="215" customFormat="1" ht="14.85" hidden="1" customHeight="1">
      <c r="A69" s="198"/>
      <c r="B69" s="215" t="str">
        <v>Verona (elox.) - maksymalna zalecana zalecana długość profilu 2500 mm</v>
      </c>
      <c r="H69" s="74" t="str">
        <f>'rozpad závěsů bez prázdn. řádků'!$S$1</f>
        <v>prosty wkręt</v>
      </c>
      <c r="I69" s="217">
        <v>14</v>
      </c>
      <c r="J69" s="73" t="e">
        <f>VLOOKUP($H$15,'rozpad závěsů bez prázdn. řádků'!$G$2:$X$66,I69,0)</f>
        <v>#N/A</v>
      </c>
      <c r="AD69" s="215" t="str">
        <f ca="1"/>
        <v xml:space="preserve">Lustro </v>
      </c>
    </row>
    <row r="70" spans="1:30" s="215" customFormat="1" ht="14.85" hidden="1" customHeight="1">
      <c r="A70" s="198"/>
      <c r="B70" s="215" t="str">
        <v>Verona szczotkowany - maksymalna zalecana zalecana długość profilu 2500 mm</v>
      </c>
      <c r="H70" s="74" t="str">
        <f>'rozpad závěsů bez prázdn. řádků'!$U$1</f>
        <v>prosty eurowkręt</v>
      </c>
      <c r="I70" s="217">
        <v>16</v>
      </c>
      <c r="J70" s="73" t="e">
        <f>VLOOKUP($H$15,'rozpad závěsů bez prázdn. řádků'!$G$2:$X$66,I70,0)</f>
        <v>#N/A</v>
      </c>
      <c r="AD70" s="215" t="str">
        <f ca="1"/>
        <v xml:space="preserve">Lustro brązowe </v>
      </c>
    </row>
    <row r="71" spans="1:30" s="215" customFormat="1" ht="14.85" hidden="1" customHeight="1">
      <c r="A71" s="198"/>
      <c r="B71" s="215" t="str">
        <v>Verona czarny matowy - maksymalna zalecana zalecana długość profilu 2500 mm</v>
      </c>
      <c r="H71" s="74" t="str">
        <f>'rozpad závěsů bez prázdn. řádků'!$W$1</f>
        <v>prosty expando</v>
      </c>
      <c r="I71" s="217">
        <v>18</v>
      </c>
      <c r="J71" s="73" t="e">
        <f>VLOOKUP($H$15,'rozpad závěsů bez prázdn. řádků'!$G$2:$X$66,I71,0)</f>
        <v>#N/A</v>
      </c>
      <c r="AD71" s="215" t="str">
        <f ca="1"/>
        <v xml:space="preserve">Lustro grafit </v>
      </c>
    </row>
    <row r="72" spans="1:30" s="215" customFormat="1" ht="14.85" hidden="1" customHeight="1">
      <c r="A72" s="198"/>
      <c r="B72" s="215" t="str">
        <v>Verona czarny połysk - maksymalna zalecana zalecana długość profilu 2500 mm</v>
      </c>
      <c r="AD72" s="215" t="str">
        <f ca="1"/>
        <v xml:space="preserve">VISIOSUN poziomo </v>
      </c>
    </row>
    <row r="73" spans="1:30" s="215" customFormat="1" ht="14.85" hidden="1" customHeight="1">
      <c r="A73" s="198"/>
      <c r="B73" s="215" t="str">
        <v>Verona braz - maksymalna zalecana zalecana długość profilu 2500 mm</v>
      </c>
      <c r="AD73" s="215" t="str">
        <f ca="1"/>
        <v xml:space="preserve">VISIOSUN pionowo </v>
      </c>
    </row>
    <row r="74" spans="1:30" s="215" customFormat="1" ht="14.85" hidden="1" customHeight="1">
      <c r="A74" s="198"/>
      <c r="B74" s="215" t="str">
        <v>Verona szampański - maksymalna zalecana zalecana długość profilu 2500 mm</v>
      </c>
      <c r="AD74" s="215" t="str">
        <f ca="1"/>
        <v xml:space="preserve">VISIOSUN satyna poziomo </v>
      </c>
    </row>
    <row r="75" spans="1:30" s="215" customFormat="1" ht="14.85" hidden="1" customHeight="1">
      <c r="A75" s="198"/>
      <c r="B75" s="215" t="str">
        <v>Verona Inox szczotkowany - maksymalna zalecana zalecana długość profilu 2500 mm</v>
      </c>
      <c r="AD75" s="215" t="str">
        <f ca="1"/>
        <v xml:space="preserve">VISIOSUN satyna pionowo </v>
      </c>
    </row>
    <row r="76" spans="1:30" s="215" customFormat="1" ht="14.85" hidden="1" customHeight="1">
      <c r="A76" s="198"/>
      <c r="B76" s="215" t="str">
        <v>Verona Inox Acier szczotkowany - maksymalna zalecana zalecana długość profilu 2500 mm</v>
      </c>
      <c r="AD76" s="215" t="str">
        <f ca="1"/>
        <v>Krizet - maksymalne wymiary 2130 x 1650 mm</v>
      </c>
    </row>
    <row r="77" spans="1:30" s="215" customFormat="1" ht="14.85" hidden="1" customHeight="1">
      <c r="A77" s="198"/>
      <c r="B77" s="215" t="str">
        <v>Verona złota - maksymalna zalecana długość profilu 2150 mm</v>
      </c>
      <c r="AD77" s="215" t="str">
        <f ca="1"/>
        <v xml:space="preserve">FLUTES pionowo </v>
      </c>
    </row>
    <row r="78" spans="1:30" s="215" customFormat="1" ht="14.85" hidden="1" customHeight="1">
      <c r="A78" s="198"/>
      <c r="B78" s="215" t="str">
        <v>Verona złota szczotkowany - maksymalna zalecana zalecana długość profilu 2150 mm</v>
      </c>
      <c r="AD78" s="215" t="str">
        <f ca="1"/>
        <v xml:space="preserve">FLUTES poziomo </v>
      </c>
    </row>
    <row r="79" spans="1:30" s="215" customFormat="1" ht="14.85" hidden="1" customHeight="1">
      <c r="A79" s="198"/>
      <c r="B79" s="215" t="str">
        <v>Vivaro (elox.) - maksymalna zalecana zalecana długość profilu 2500 mm</v>
      </c>
      <c r="AD79" s="215" t="str">
        <f ca="1"/>
        <v xml:space="preserve">Lakomat </v>
      </c>
    </row>
    <row r="80" spans="1:30" s="215" customFormat="1" ht="14.85" hidden="1" customHeight="1">
      <c r="A80" s="198"/>
      <c r="B80" s="215" t="str">
        <v>Vivaro czarny matowy - maksymalna zalecana zalecana długość profilu 2500 mm</v>
      </c>
      <c r="AD80" s="215" t="str">
        <f ca="1"/>
        <v xml:space="preserve">Lacobel RAL 1013 </v>
      </c>
    </row>
    <row r="81" spans="1:38" s="215" customFormat="1" ht="14.85" hidden="1" customHeight="1">
      <c r="A81" s="198"/>
      <c r="B81" s="215" t="str">
        <v>Vivaro INOX (stal nierdzewna) - maksymalna zalecana zalecana długość profilu 2500 mm</v>
      </c>
      <c r="AD81" s="215" t="str">
        <f ca="1"/>
        <v xml:space="preserve">Lacobel RAL 1015 </v>
      </c>
    </row>
    <row r="82" spans="1:38" s="215" customFormat="1" ht="14.85" hidden="1" customHeight="1">
      <c r="A82" s="198"/>
      <c r="B82" s="215" t="str">
        <v>Vivaro biały matowy RAL 9003 - maksymalna zalecana zalecana długość profilu 2500 mm</v>
      </c>
      <c r="P82" s="215" t="str">
        <f>IF(OR(H8=kombinace_1!F18,H8=kombinace_1!F19,H8=kombinace_1!A55,H8=kombinace_1!A56,H8=kombinace_1!A57,H8=kombinace_1!A58),"_2_strany",IF(H15=kombinace_1!AB8,"_ramena_HL","_4_strany"))</f>
        <v>_4_strany</v>
      </c>
      <c r="AD82" s="215" t="str">
        <f ca="1"/>
        <v xml:space="preserve">Lacobel RAL 7035 </v>
      </c>
    </row>
    <row r="83" spans="1:38" ht="14.85" hidden="1" customHeight="1">
      <c r="B83" s="196" t="str">
        <v>Vivaro biały połysk RAL 9003 - maksymalna zalecana zalecana długość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 xml:space="preserve">Lacobel RAL 9003 </v>
      </c>
      <c r="AE83" s="206"/>
      <c r="AF83" s="206"/>
      <c r="AG83" s="206"/>
      <c r="AH83" s="206"/>
      <c r="AI83" s="208"/>
      <c r="AJ83" s="208"/>
      <c r="AK83" s="208"/>
      <c r="AL83" s="208"/>
    </row>
    <row r="84" spans="1:38" ht="14.85" hidden="1" customHeight="1">
      <c r="B84" s="196" t="str">
        <v>Vivaro złota - maksymalna zalecana zalecana długość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 xml:space="preserve">Lacobel RAL 9005 </v>
      </c>
      <c r="AE84" s="206"/>
      <c r="AF84" s="206"/>
      <c r="AG84" s="206"/>
      <c r="AH84" s="206"/>
      <c r="AI84" s="208"/>
      <c r="AJ84" s="208"/>
      <c r="AK84" s="208"/>
      <c r="AL84" s="208"/>
    </row>
    <row r="85" spans="1:38" ht="14.85" hidden="1" customHeight="1">
      <c r="B85" s="196" t="str">
        <v>Vivaro złota szczotkowany - maksymalna zalecana zalecana długość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 xml:space="preserve">Lacobel RAL 9006 </v>
      </c>
      <c r="AE85" s="206"/>
      <c r="AF85" s="206"/>
      <c r="AG85" s="206"/>
      <c r="AH85" s="206"/>
      <c r="AI85" s="208"/>
      <c r="AJ85" s="208"/>
      <c r="AK85" s="208"/>
      <c r="AL85" s="208"/>
    </row>
    <row r="86" spans="1:38" ht="14.85" hidden="1" customHeight="1">
      <c r="B86" s="196" t="str">
        <v>Rocca elox (lewa i prawa) + Varna elox (góra i dół)</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 xml:space="preserve">Lacobel RAL 9007 </v>
      </c>
      <c r="AE86" s="206"/>
      <c r="AF86" s="206"/>
      <c r="AG86" s="206"/>
      <c r="AH86" s="206"/>
      <c r="AI86" s="208"/>
      <c r="AJ86" s="208"/>
      <c r="AK86" s="208"/>
      <c r="AL86" s="208"/>
    </row>
    <row r="87" spans="1:38" ht="14.85" hidden="1" customHeight="1">
      <c r="B87" s="196" t="str">
        <v>Rocca czarny (lewa i prawa) + Varna czarny (góra i dół)</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 xml:space="preserve">Lacobel RAL 9010 </v>
      </c>
      <c r="AE87" s="206"/>
      <c r="AF87" s="206"/>
      <c r="AG87" s="206"/>
      <c r="AH87" s="206"/>
      <c r="AI87" s="208"/>
      <c r="AJ87" s="208"/>
      <c r="AK87" s="208"/>
      <c r="AL87" s="208"/>
    </row>
    <row r="88" spans="1:38" ht="14.85" hidden="1" customHeight="1">
      <c r="B88" s="196" t="str">
        <v>ROMA czarna matowa -  maksymalna zalecana długość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9003 </v>
      </c>
      <c r="AE88" s="206"/>
      <c r="AF88" s="206"/>
      <c r="AG88" s="206"/>
      <c r="AH88" s="206"/>
      <c r="AI88" s="208"/>
      <c r="AJ88" s="208"/>
      <c r="AK88" s="208"/>
      <c r="AL88" s="208"/>
    </row>
    <row r="89" spans="1:38" ht="14.85" hidden="1" customHeight="1">
      <c r="B89" s="196" t="str">
        <v>ROMA champagne mat - maksymalna zalecana długość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 xml:space="preserve">Matelac RAL 9005 </v>
      </c>
      <c r="AE89" s="206"/>
      <c r="AF89" s="206"/>
      <c r="AG89" s="206"/>
      <c r="AH89" s="206"/>
      <c r="AI89" s="208"/>
      <c r="AJ89" s="208"/>
      <c r="AK89" s="208"/>
      <c r="AL89" s="208"/>
    </row>
    <row r="90" spans="1:38" ht="14.85" hidden="1" customHeight="1">
      <c r="B90" s="196" t="str">
        <v>ROMA GRIP czarna matowa - maksymalna zalecana długość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lustro bronz</v>
      </c>
      <c r="AE90" s="206"/>
      <c r="AF90" s="206"/>
      <c r="AG90" s="206"/>
      <c r="AH90" s="206"/>
      <c r="AI90" s="208"/>
      <c r="AJ90" s="208"/>
      <c r="AK90" s="208"/>
      <c r="AL90" s="208"/>
    </row>
    <row r="91" spans="1:38" ht="14.85" hidden="1" customHeight="1">
      <c r="B91" s="196" t="str">
        <v>ROMA GRIP champagne mat - maksymalna zalecana długość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lustro grafit</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lustro srebrny</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 xml:space="preserve">Moru brąz pionowo </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 xml:space="preserve">Moru grafit pionowo </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 xml:space="preserve">Moru brąz poziomo </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 xml:space="preserve">Moru grafit poziomo </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woBqZM9UWrGr39dQuoHH9kwGUOprTOwmkZrUWJnGlTXntPgYPU1ocdcLrOXap581Fec/MMbttRJSINPYgex3Sg==" saltValue="IyU8EW2GOeIeJJ/LGy10nw=="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677" priority="24" operator="equal">
      <formula>$A$2</formula>
    </cfRule>
  </conditionalFormatting>
  <conditionalFormatting sqref="B16:I16">
    <cfRule type="expression" dxfId="676" priority="45">
      <formula>$AU$19=0</formula>
    </cfRule>
  </conditionalFormatting>
  <conditionalFormatting sqref="B9:Q9">
    <cfRule type="expression" dxfId="675" priority="30">
      <formula>$B$9=0</formula>
    </cfRule>
  </conditionalFormatting>
  <conditionalFormatting sqref="B11:Q11">
    <cfRule type="expression" dxfId="674" priority="44">
      <formula>$AU$10=0</formula>
    </cfRule>
  </conditionalFormatting>
  <conditionalFormatting sqref="B14:Q14">
    <cfRule type="expression" dxfId="673" priority="29">
      <formula>$B$14=0</formula>
    </cfRule>
  </conditionalFormatting>
  <conditionalFormatting sqref="B17:Q17">
    <cfRule type="expression" dxfId="672" priority="28">
      <formula>$B$17=0</formula>
    </cfRule>
  </conditionalFormatting>
  <conditionalFormatting sqref="B18:Q18">
    <cfRule type="expression" dxfId="671" priority="14" stopIfTrue="1">
      <formula>$B$18=0</formula>
    </cfRule>
    <cfRule type="expression" dxfId="670" priority="17">
      <formula>$F$16=$H$61</formula>
    </cfRule>
  </conditionalFormatting>
  <conditionalFormatting sqref="B19:Q19">
    <cfRule type="expression" dxfId="669" priority="27">
      <formula>$B$19=0</formula>
    </cfRule>
  </conditionalFormatting>
  <conditionalFormatting sqref="B20:Q20">
    <cfRule type="expression" dxfId="668" priority="26">
      <formula>$B$19=0</formula>
    </cfRule>
    <cfRule type="expression" dxfId="667" priority="25">
      <formula>$B$20=0</formula>
    </cfRule>
  </conditionalFormatting>
  <conditionalFormatting sqref="B21:Q21">
    <cfRule type="expression" dxfId="666" priority="6">
      <formula>$B$21=" "</formula>
    </cfRule>
  </conditionalFormatting>
  <conditionalFormatting sqref="B24:Q24">
    <cfRule type="expression" dxfId="665" priority="19" stopIfTrue="1">
      <formula>$T$59&lt;3</formula>
    </cfRule>
  </conditionalFormatting>
  <conditionalFormatting sqref="H23">
    <cfRule type="expression" dxfId="664" priority="31">
      <formula>$H$25&gt;0</formula>
    </cfRule>
  </conditionalFormatting>
  <conditionalFormatting sqref="H10:L11">
    <cfRule type="expression" dxfId="663" priority="23">
      <formula>$AU$10=2</formula>
    </cfRule>
  </conditionalFormatting>
  <conditionalFormatting sqref="H10:Q10">
    <cfRule type="expression" dxfId="662" priority="22">
      <formula>$AU$10=0</formula>
    </cfRule>
  </conditionalFormatting>
  <conditionalFormatting sqref="H22:Q22 B22:G23">
    <cfRule type="expression" dxfId="661" priority="20">
      <formula>$AS$33=1</formula>
    </cfRule>
  </conditionalFormatting>
  <conditionalFormatting sqref="J16:M16">
    <cfRule type="expression" dxfId="660" priority="16" stopIfTrue="1">
      <formula>$K$60=TRUE</formula>
    </cfRule>
  </conditionalFormatting>
  <conditionalFormatting sqref="J16:N16">
    <cfRule type="expression" dxfId="659" priority="18" stopIfTrue="1">
      <formula>$AV$19=0</formula>
    </cfRule>
  </conditionalFormatting>
  <conditionalFormatting sqref="M10:Q11">
    <cfRule type="expression" dxfId="658" priority="21">
      <formula>$AU$10=1</formula>
    </cfRule>
  </conditionalFormatting>
  <conditionalFormatting sqref="N16:Q16">
    <cfRule type="expression" dxfId="657" priority="15" stopIfTrue="1">
      <formula>$K$60=TRUE</formula>
    </cfRule>
  </conditionalFormatting>
  <conditionalFormatting sqref="P29:Q29">
    <cfRule type="expression" dxfId="656" priority="1">
      <formula>$U$41=2</formula>
    </cfRule>
  </conditionalFormatting>
  <conditionalFormatting sqref="AA9:AA10 AA24:AA25">
    <cfRule type="expression" dxfId="655" priority="10" stopIfTrue="1">
      <formula>$AU$17=1</formula>
    </cfRule>
  </conditionalFormatting>
  <conditionalFormatting sqref="AA16:AA17">
    <cfRule type="expression" dxfId="654" priority="5" stopIfTrue="1">
      <formula>$AU$24="1_3"</formula>
    </cfRule>
  </conditionalFormatting>
  <conditionalFormatting sqref="AB6 AA6:AA7 AA27 AA28:AB28">
    <cfRule type="expression" dxfId="653" priority="4" stopIfTrue="1">
      <formula>$AV$17=1</formula>
    </cfRule>
  </conditionalFormatting>
  <conditionalFormatting sqref="AB29:AO29">
    <cfRule type="cellIs" dxfId="652" priority="2" operator="equal">
      <formula>0</formula>
    </cfRule>
  </conditionalFormatting>
  <conditionalFormatting sqref="AC6:AD6 AM6:AN6">
    <cfRule type="expression" dxfId="651" priority="12" stopIfTrue="1">
      <formula>$AU$17=3</formula>
    </cfRule>
  </conditionalFormatting>
  <conditionalFormatting sqref="AC25:AD25 AJ26:AJ27">
    <cfRule type="expression" dxfId="650" priority="39">
      <formula>$AU$25=4</formula>
    </cfRule>
  </conditionalFormatting>
  <conditionalFormatting sqref="AC28:AD28 AM28:AN28">
    <cfRule type="expression" dxfId="649" priority="11" stopIfTrue="1">
      <formula>$AU$17=4</formula>
    </cfRule>
  </conditionalFormatting>
  <conditionalFormatting sqref="AC8:AG8">
    <cfRule type="expression" dxfId="648" priority="43">
      <formula>$AU$25=3</formula>
    </cfRule>
  </conditionalFormatting>
  <conditionalFormatting sqref="AC24:AG24">
    <cfRule type="expression" dxfId="647" priority="40">
      <formula>$AU$25=4</formula>
    </cfRule>
  </conditionalFormatting>
  <conditionalFormatting sqref="AD10:AD12 AB19:AC19">
    <cfRule type="expression" dxfId="646" priority="33">
      <formula>$AU$25=1</formula>
    </cfRule>
  </conditionalFormatting>
  <conditionalFormatting sqref="AD14:AD21">
    <cfRule type="expression" dxfId="645" priority="32">
      <formula>$AU$25=1</formula>
    </cfRule>
  </conditionalFormatting>
  <conditionalFormatting sqref="AE10:AE16">
    <cfRule type="expression" dxfId="644" priority="41">
      <formula>$AU$25=1</formula>
    </cfRule>
  </conditionalFormatting>
  <conditionalFormatting sqref="AF9:AK9">
    <cfRule type="expression" dxfId="643" priority="36">
      <formula>$AU$25=3</formula>
    </cfRule>
  </conditionalFormatting>
  <conditionalFormatting sqref="AF25:AK25">
    <cfRule type="expression" dxfId="642" priority="38">
      <formula>$AU$25=4</formula>
    </cfRule>
  </conditionalFormatting>
  <conditionalFormatting sqref="AG6:AH6">
    <cfRule type="expression" dxfId="641" priority="8" stopIfTrue="1">
      <formula>$AU$24="3_3"</formula>
    </cfRule>
  </conditionalFormatting>
  <conditionalFormatting sqref="AG28:AH28">
    <cfRule type="expression" dxfId="640" priority="7" stopIfTrue="1">
      <formula>$AU$24="4_3"</formula>
    </cfRule>
  </conditionalFormatting>
  <conditionalFormatting sqref="AJ7:AJ8 AC9:AD9">
    <cfRule type="expression" dxfId="639" priority="37">
      <formula>$AU$25=3</formula>
    </cfRule>
  </conditionalFormatting>
  <conditionalFormatting sqref="AL19:AL25">
    <cfRule type="expression" dxfId="638" priority="42">
      <formula>$AU$25=2</formula>
    </cfRule>
  </conditionalFormatting>
  <conditionalFormatting sqref="AM14:AM21">
    <cfRule type="expression" dxfId="637" priority="34">
      <formula>$AU$25=2</formula>
    </cfRule>
  </conditionalFormatting>
  <conditionalFormatting sqref="AN19:AO19 AM23:AM25">
    <cfRule type="expression" dxfId="636" priority="35">
      <formula>$AU$25=2</formula>
    </cfRule>
  </conditionalFormatting>
  <conditionalFormatting sqref="AO6 AP6:AP7 AP27 AO28:AP28">
    <cfRule type="expression" dxfId="635" priority="3" stopIfTrue="1">
      <formula>$AV$17=2</formula>
    </cfRule>
  </conditionalFormatting>
  <conditionalFormatting sqref="AP9:AP10 AP24:AP25">
    <cfRule type="expression" dxfId="634" priority="9" stopIfTrue="1">
      <formula>$AU$17=2</formula>
    </cfRule>
  </conditionalFormatting>
  <conditionalFormatting sqref="AP16:AP17">
    <cfRule type="expression" dxfId="633" priority="13" stopIfTrue="1">
      <formula>$AU$24="2_3"</formula>
    </cfRule>
  </conditionalFormatting>
  <dataValidations count="20">
    <dataValidation type="whole" allowBlank="1" showInputMessage="1" showErrorMessage="1" sqref="H11:L11" xr:uid="{5CF40E86-0317-4BA5-A7BE-1EF3EDD9B845}">
      <formula1>1</formula1>
      <formula2>(AR14/100)-1</formula2>
    </dataValidation>
    <dataValidation type="whole" allowBlank="1" showInputMessage="1" showErrorMessage="1" sqref="M11:Q11" xr:uid="{CEF30A81-2CF0-485E-B238-C7872F7489E1}">
      <formula1>1</formula1>
      <formula2>(AI30/100)-1</formula2>
    </dataValidation>
    <dataValidation type="whole" allowBlank="1" showInputMessage="1" showErrorMessage="1" errorTitle="Minimum 80 mm" sqref="F20:I20 N20:Q20" xr:uid="{2A5B2D6F-7B79-43B7-B0C3-727B9D21B502}">
      <formula1>80</formula1>
      <formula2>1300</formula2>
    </dataValidation>
    <dataValidation type="whole" operator="greaterThanOrEqual" allowBlank="1" showInputMessage="1" showErrorMessage="1" sqref="H26:Q26" xr:uid="{BE1BA38A-7AC8-462D-8CF3-F065578A2EE6}">
      <formula1>1</formula1>
    </dataValidation>
    <dataValidation type="list" allowBlank="1" showInputMessage="1" showErrorMessage="1" sqref="H12:Q12" xr:uid="{6623658E-8C6B-45A2-9701-643710FED1C1}">
      <formula1>$L$36:$M$36</formula1>
    </dataValidation>
    <dataValidation type="list" allowBlank="1" showInputMessage="1" showErrorMessage="1" sqref="H14:Q14" xr:uid="{173783E3-0F60-4B10-845A-A1C273460430}">
      <formula1>$P$36:$P$38</formula1>
    </dataValidation>
    <dataValidation type="list" allowBlank="1" showInputMessage="1" showErrorMessage="1" sqref="H21:Q21" xr:uid="{928B9CF3-E319-4ED2-BC02-C51D9FD60C96}">
      <formula1>$T$54:$T$56</formula1>
    </dataValidation>
    <dataValidation type="list" allowBlank="1" showInputMessage="1" showErrorMessage="1" sqref="H24:Q24" xr:uid="{3FAAF4FA-7A22-47C1-93B3-7CD20FF4CAEE}">
      <formula1>$X$54:$X$56</formula1>
    </dataValidation>
    <dataValidation type="list" allowBlank="1" showInputMessage="1" showErrorMessage="1" sqref="H19:Q19" xr:uid="{F81EFF69-9B31-42EE-944B-4633853A168E}">
      <formula1>IF(H13="Salice",$AJ$36,($AJ$36:$AJ$40))</formula1>
    </dataValidation>
    <dataValidation type="list" allowBlank="1" showInputMessage="1" showErrorMessage="1" sqref="H18:Q18" xr:uid="{6788F395-540C-4256-80DC-647BB13C65AD}">
      <formula1>$AF$36:$AF$41</formula1>
    </dataValidation>
    <dataValidation type="list" allowBlank="1" showInputMessage="1" showErrorMessage="1" sqref="N16:Q16" xr:uid="{298F8A4D-2D6B-4F45-BC9D-3FEA62330643}">
      <formula1>$K$54:$K$58</formula1>
    </dataValidation>
    <dataValidation type="list" allowBlank="1" showInputMessage="1" showErrorMessage="1" sqref="H13:Q13" xr:uid="{7591BE3D-AB33-4582-859D-B03F9B45ABA0}">
      <formula1>IF(M38="Salice",$L$38,$L$38:$L$42)</formula1>
    </dataValidation>
    <dataValidation type="list" allowBlank="1" showInputMessage="1" showErrorMessage="1" sqref="H15:Q15" xr:uid="{7CF1A6D4-6F92-42B6-B585-FE78BADA8CF4}">
      <formula1>$T$36:$T$44</formula1>
    </dataValidation>
    <dataValidation type="list" allowBlank="1" showInputMessage="1" showErrorMessage="1" sqref="F16:I16" xr:uid="{0836C2EA-BF85-4D3E-8F12-25F667045EBA}">
      <formula1>$O$65:$O$84</formula1>
    </dataValidation>
    <dataValidation type="list" allowBlank="1" showInputMessage="1" showErrorMessage="1" sqref="H17:Q17" xr:uid="{74245D10-2C47-48CE-A794-F0949D1D3E27}">
      <formula1>INDIRECT($P$82)</formula1>
    </dataValidation>
    <dataValidation type="whole" operator="lessThan" showInputMessage="1" showErrorMessage="1" sqref="AI30:AK30" xr:uid="{773EA7EF-E024-4BB7-BAC9-6D88704ECF99}">
      <formula1>IF(AR14&lt;AI43+1,AJ43+1,AI43+1)</formula1>
    </dataValidation>
    <dataValidation type="whole" operator="lessThan" showErrorMessage="1" sqref="AR14:AR18" xr:uid="{019B079D-998F-46EE-9314-ED6C497F058A}">
      <formula1>IF(AI30&lt;AI43+1,AJ43+1,AI43+1)</formula1>
    </dataValidation>
    <dataValidation type="list" allowBlank="1" showInputMessage="1" showErrorMessage="1" sqref="P29:Q29" xr:uid="{88696793-B7D9-46C6-96A0-995E247A5D4C}">
      <formula1>$W$37:$W$38</formula1>
    </dataValidation>
    <dataValidation type="list" allowBlank="1" showInputMessage="1" showErrorMessage="1" sqref="H25:Q25" xr:uid="{64B0F902-437F-4DF9-9D02-1B4F21ED97AF}">
      <formula1>$AD$54:$AD$97</formula1>
    </dataValidation>
    <dataValidation type="list" allowBlank="1" showInputMessage="1" showErrorMessage="1" sqref="H8:Q8" xr:uid="{2B536D2A-D771-4A8C-94D3-A32F3EC8B8D7}">
      <formula1>B36:B91</formula1>
    </dataValidation>
  </dataValidations>
  <hyperlinks>
    <hyperlink ref="AP2:AS3" location="Hlavní!A1" display="Hlavní!A1" xr:uid="{B31E53C6-8D26-49F7-9744-7AD8183565AA}"/>
    <hyperlink ref="F5:H5" location="Ram_2!A1" display="Ram_2!A1" xr:uid="{C2365B96-4AEF-4C12-8829-CC382C5A90E9}"/>
    <hyperlink ref="N5:P5" location="Ram_4!A1" display="Ram_4!A1" xr:uid="{0C23D4A4-A023-4CA8-BA4B-895A712F79D4}"/>
    <hyperlink ref="R5:T5" location="Ram_5!A1" display="Ram_5!A1" xr:uid="{3CDE14B2-16E6-4149-A294-788A3927415A}"/>
    <hyperlink ref="V5:X5" location="Ram_6!A1" display="Ram_6!A1" xr:uid="{0900418B-A0B5-4FCD-ABE0-75019F5859E1}"/>
    <hyperlink ref="B5:D5" location="Ram_1!A1" display="Ram_1!A1" xr:uid="{610E6873-A698-4502-8550-BED162E98A51}"/>
    <hyperlink ref="AO31:AR32" location="_souhrn!A1" display="_souhrn!A1" xr:uid="{D3A5D2EC-BB13-43D9-BA33-032416ECAA23}"/>
    <hyperlink ref="J5:L5" location="Ram_3!A1" display="Ram_3!A1" xr:uid="{219A83D0-EB49-4318-8685-0F9111CF74F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57150</xdr:colOff>
                    <xdr:row>6</xdr:row>
                    <xdr:rowOff>171450</xdr:rowOff>
                  </from>
                  <to>
                    <xdr:col>5</xdr:col>
                    <xdr:colOff>314325</xdr:colOff>
                    <xdr:row>7</xdr:row>
                    <xdr:rowOff>238125</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0AD4C6F-C741-49FD-844A-5C27946FC7E0}">
          <x14:formula1>
            <xm:f>'závěsy dle výklopu'!$BW$2:$BW$5</xm:f>
          </x14:formula1>
          <xm:sqref>H27:Q27</xm:sqref>
        </x14:dataValidation>
        <x14:dataValidation type="list" allowBlank="1" showInputMessage="1" showErrorMessage="1" xr:uid="{8861ED1B-F83D-4F7F-8846-69A25B11A415}">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H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24</v>
      </c>
      <c r="F1" t="s">
        <v>1017</v>
      </c>
      <c r="H1" t="b">
        <v>0</v>
      </c>
      <c r="M1" t="s">
        <v>1018</v>
      </c>
      <c r="P1" t="e">
        <f t="array" ref="P1">IF($S$1=Varianta_N1,_N1,IF($S$1=Varianta_A1,_A1,IF($S$1=Varianta_N2,_N2,IF($S$1=Varianta_A2,_A2,IF($S$1=Varianta_N3,_N3,IF($S$1=Varianta_A3,_A3,0))))))</f>
        <v>#NAME?</v>
      </c>
      <c r="Q1" s="231" t="s">
        <v>1083</v>
      </c>
      <c r="R1" s="2" t="str">
        <f>VLOOKUP(Ram_3!H8,kombinace_3!$A$3:$C$75,3,0)</f>
        <v>N</v>
      </c>
      <c r="S1" t="str">
        <f>CONCATENATE("_",R1,V1)</f>
        <v>_N1</v>
      </c>
      <c r="U1" s="231" t="s">
        <v>1082</v>
      </c>
      <c r="V1" s="2">
        <f>IFERROR(VLOOKUP(Ram_3!H21,$EN$3:$EO$5,2,0),1)</f>
        <v>1</v>
      </c>
      <c r="X1" t="s">
        <v>1019</v>
      </c>
      <c r="AA1" t="s">
        <v>610</v>
      </c>
      <c r="AF1" t="s">
        <v>1020</v>
      </c>
      <c r="AX1" t="s">
        <v>401</v>
      </c>
      <c r="BC1" t="s">
        <v>8</v>
      </c>
      <c r="BK1" t="s">
        <v>576</v>
      </c>
      <c r="BM1" t="s">
        <v>1072</v>
      </c>
      <c r="ER1" t="s">
        <v>2277</v>
      </c>
      <c r="ES1" t="s">
        <v>2282</v>
      </c>
      <c r="EV1">
        <v>1</v>
      </c>
      <c r="EW1" t="s">
        <v>2299</v>
      </c>
      <c r="EY1" t="s">
        <v>2402</v>
      </c>
      <c r="FA1" t="s">
        <v>2403</v>
      </c>
      <c r="FC1" t="s">
        <v>2401</v>
      </c>
      <c r="FE1" t="s">
        <v>2414</v>
      </c>
      <c r="FF1" t="s">
        <v>2415</v>
      </c>
      <c r="FG1" t="s">
        <v>2416</v>
      </c>
      <c r="FH1" t="s">
        <v>2417</v>
      </c>
    </row>
    <row r="2" spans="1:164">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CONCATENATE("_",Ram_3!H12,"_",Ram_3!H13)</f>
        <v>__</v>
      </c>
      <c r="BV2" t="s">
        <v>1100</v>
      </c>
      <c r="BW2" t="s">
        <v>1095</v>
      </c>
      <c r="BY2" t="s">
        <v>112</v>
      </c>
      <c r="CA2" t="s">
        <v>1127</v>
      </c>
      <c r="CD2" t="s">
        <v>1202</v>
      </c>
      <c r="CF2" t="s">
        <v>1447</v>
      </c>
      <c r="DN2" t="str">
        <f>'Translate&amp;Prices&amp;Logo'!B553</f>
        <v>Nakładany</v>
      </c>
      <c r="DP2" t="str">
        <f>'Translate&amp;Prices&amp;Logo'!$B$551</f>
        <v>Zawiasy</v>
      </c>
      <c r="DQ2">
        <v>2</v>
      </c>
      <c r="ED2" t="s">
        <v>1770</v>
      </c>
      <c r="EE2" t="s">
        <v>1864</v>
      </c>
      <c r="ER2" t="s">
        <v>2278</v>
      </c>
      <c r="ES2" t="s">
        <v>2283</v>
      </c>
      <c r="EV2">
        <v>2</v>
      </c>
      <c r="EW2" t="s">
        <v>2300</v>
      </c>
      <c r="EY2" s="271" t="str">
        <f>'Translate&amp;Prices&amp;Logo'!B164</f>
        <v>siatka alu złota - oko 10x6x1 mm</v>
      </c>
      <c r="FA2" s="75" t="str">
        <f>'Translate&amp;Prices&amp;Logo'!B644</f>
        <v>520405 SALICE AIR SOFT zawiasy niklowe o kącie otwarcia 92° kpl. 2 szt</v>
      </c>
      <c r="FC2" t="b">
        <v>0</v>
      </c>
    </row>
    <row r="3" spans="1:164">
      <c r="A3" t="str">
        <f>'Translate&amp;Prices&amp;Logo'!$B$6</f>
        <v>BRW (elox.) - maksymalna zalecana długość profilu 2500 mm</v>
      </c>
      <c r="B3">
        <v>1</v>
      </c>
      <c r="C3" t="s">
        <v>662</v>
      </c>
      <c r="D3">
        <v>1</v>
      </c>
      <c r="F3" t="s">
        <v>1036</v>
      </c>
      <c r="G3" t="s">
        <v>384</v>
      </c>
      <c r="H3" t="s">
        <v>1037</v>
      </c>
      <c r="I3">
        <v>1</v>
      </c>
      <c r="J3">
        <v>2</v>
      </c>
      <c r="K3" t="s">
        <v>662</v>
      </c>
      <c r="M3" t="s">
        <v>1038</v>
      </c>
      <c r="N3" t="s">
        <v>556</v>
      </c>
      <c r="X3" t="str">
        <f>'Translate&amp;Prices&amp;Logo'!$B$563</f>
        <v>transparentna</v>
      </c>
      <c r="Y3">
        <v>1</v>
      </c>
      <c r="AA3" t="s">
        <v>2204</v>
      </c>
      <c r="AB3" t="s">
        <v>1095</v>
      </c>
      <c r="AF3" t="s">
        <v>107</v>
      </c>
      <c r="AG3" t="s">
        <v>2514</v>
      </c>
      <c r="AY3" t="s">
        <v>1070</v>
      </c>
      <c r="BK3" t="s">
        <v>107</v>
      </c>
      <c r="BU3" t="e">
        <f>VLOOKUP(BU2,BV:BW,2,0)</f>
        <v>#N/A</v>
      </c>
      <c r="BV3" t="s">
        <v>1103</v>
      </c>
      <c r="BW3" t="s">
        <v>1099</v>
      </c>
      <c r="BY3" t="str">
        <f>'Translate&amp;Prices&amp;Logo'!$B$230</f>
        <v>W lewo</v>
      </c>
      <c r="BZ3">
        <v>1</v>
      </c>
      <c r="CA3">
        <v>32</v>
      </c>
      <c r="CD3" t="s">
        <v>2511</v>
      </c>
      <c r="CE3">
        <v>1</v>
      </c>
      <c r="CF3">
        <v>1</v>
      </c>
      <c r="DN3" t="str">
        <f>IF(OR(Ram_3!$H$13&amp;Ram_3!$AU$7=Ram_3!$M$44,
Ram_3!$H$13&amp;Ram_3!$AU$7=Ram_3!$M$45,
Ram_3!$H$13&amp;Ram_3!$AU$7=Ram_3!$M$46,
Ram_3!$H$13&amp;Ram_3!$AU$7=Ram_3!$M$47),
'Translate&amp;Prices&amp;Logo'!B657,'Translate&amp;Prices&amp;Logo'!B554)</f>
        <v>Półnakładany</v>
      </c>
      <c r="DP3" t="str">
        <f>'Translate&amp;Prices&amp;Logo'!$B$552</f>
        <v>Podnośniki</v>
      </c>
      <c r="DQ3">
        <v>3</v>
      </c>
      <c r="ED3" t="s">
        <v>1771</v>
      </c>
      <c r="EE3" t="s">
        <v>1865</v>
      </c>
      <c r="EJ3">
        <v>1</v>
      </c>
      <c r="EK3" t="s">
        <v>115</v>
      </c>
      <c r="EN3" t="str">
        <f>'Translate&amp;Prices&amp;Logo'!B638</f>
        <v>Bez modyfikacji</v>
      </c>
      <c r="EO3">
        <v>1</v>
      </c>
      <c r="ER3" t="s">
        <v>2276</v>
      </c>
      <c r="ES3" t="s">
        <v>2284</v>
      </c>
      <c r="EV3">
        <v>3</v>
      </c>
      <c r="EW3" t="s">
        <v>2301</v>
      </c>
      <c r="EY3" s="271" t="str">
        <f>'Translate&amp;Prices&amp;Logo'!B165</f>
        <v>siatka stal czarny mat RAL 9005– oko 8x4x1 mm</v>
      </c>
      <c r="FA3" s="75" t="str">
        <f>'Translate&amp;Prices&amp;Logo'!B645</f>
        <v>520406 SALICE AIR PUSH TO OPEN zawiasy niklowe z zestawem adapterów 2 szt</v>
      </c>
    </row>
    <row r="4" spans="1:164">
      <c r="A4" t="str">
        <f>'Translate&amp;Prices&amp;Logo'!$B$8</f>
        <v>BRW bialy matowy RAL 9003 - maksymalna zalecana długość profilu 2500 mm</v>
      </c>
      <c r="B4">
        <v>1</v>
      </c>
      <c r="C4" t="s">
        <v>662</v>
      </c>
      <c r="D4">
        <v>0</v>
      </c>
      <c r="G4" t="s">
        <v>1037</v>
      </c>
      <c r="H4" t="s">
        <v>384</v>
      </c>
      <c r="I4">
        <v>0</v>
      </c>
      <c r="J4">
        <v>2</v>
      </c>
      <c r="K4" t="s">
        <v>662</v>
      </c>
      <c r="M4" t="s">
        <v>1041</v>
      </c>
      <c r="N4" t="s">
        <v>942</v>
      </c>
      <c r="X4" t="str">
        <f>'Translate&amp;Prices&amp;Logo'!$B$564</f>
        <v>Biała</v>
      </c>
      <c r="Y4">
        <v>2</v>
      </c>
      <c r="AA4" t="s">
        <v>1040</v>
      </c>
      <c r="AB4" t="s">
        <v>2511</v>
      </c>
      <c r="AC4">
        <v>1</v>
      </c>
      <c r="AD4">
        <v>1</v>
      </c>
      <c r="AF4" t="s">
        <v>108</v>
      </c>
      <c r="AG4" t="s">
        <v>2514</v>
      </c>
      <c r="AY4" t="s">
        <v>1070</v>
      </c>
      <c r="AZ4" t="s">
        <v>1105</v>
      </c>
      <c r="BK4" t="s">
        <v>108</v>
      </c>
      <c r="BV4" t="s">
        <v>1104</v>
      </c>
      <c r="BW4" t="s">
        <v>1098</v>
      </c>
      <c r="BY4" t="str">
        <f>'Translate&amp;Prices&amp;Logo'!$B$229</f>
        <v>W prawo</v>
      </c>
      <c r="BZ4">
        <v>2</v>
      </c>
      <c r="CA4">
        <v>64</v>
      </c>
      <c r="CD4" t="s">
        <v>2275</v>
      </c>
      <c r="CE4">
        <v>1</v>
      </c>
      <c r="CF4">
        <v>0</v>
      </c>
      <c r="DN4" t="str">
        <f>IF(OR(Ram_3!$H$13&amp;Ram_3!$AU$7=Ram_3!$M$44,
Ram_3!$H$13&amp;Ram_3!$AU$7=Ram_3!$M$45,
Ram_3!$H$13&amp;Ram_3!$AU$7=Ram_3!$M$46,
Ram_3!$H$13&amp;Ram_3!$AU$7=Ram_3!$M$47),
'Translate&amp;Prices&amp;Logo'!B657,'Translate&amp;Prices&amp;Logo'!B555)</f>
        <v>Wpuszczany</v>
      </c>
      <c r="ED4" t="s">
        <v>1772</v>
      </c>
      <c r="EE4" t="s">
        <v>1866</v>
      </c>
      <c r="EJ4">
        <v>2</v>
      </c>
      <c r="EK4" t="s">
        <v>116</v>
      </c>
      <c r="EN4" t="str">
        <f>'Translate&amp;Prices&amp;Logo'!B639</f>
        <v>Hartowane (termin dostawy 4 tygodnie)</v>
      </c>
      <c r="EO4">
        <v>2</v>
      </c>
      <c r="ER4" t="s">
        <v>2586</v>
      </c>
      <c r="ES4" t="s">
        <v>2587</v>
      </c>
      <c r="EV4">
        <v>4</v>
      </c>
      <c r="EW4" t="s">
        <v>2302</v>
      </c>
      <c r="EY4" s="271" t="str">
        <f>'Translate&amp;Prices&amp;Logo'!B166</f>
        <v>siatka stalowa biała - oko 8x4x1 mm</v>
      </c>
      <c r="FA4" s="75" t="str">
        <f>'Translate&amp;Prices&amp;Logo'!B646</f>
        <v>520407 SALICE AIR PUSH TO OPEN zawiasy niklowe z zestawem adapterów 2 szt</v>
      </c>
      <c r="FD4" s="293"/>
    </row>
    <row r="5" spans="1:164">
      <c r="A5" t="str">
        <f>'Translate&amp;Prices&amp;Logo'!$B$9</f>
        <v>BRW bialy połysk RAL 9003 - maksymalna zalecana długość profilu 2500 mm</v>
      </c>
      <c r="B5">
        <v>1</v>
      </c>
      <c r="C5" t="s">
        <v>662</v>
      </c>
      <c r="D5">
        <v>0</v>
      </c>
      <c r="F5" t="s">
        <v>1043</v>
      </c>
      <c r="G5" t="s">
        <v>383</v>
      </c>
      <c r="H5" t="s">
        <v>1037</v>
      </c>
      <c r="I5">
        <v>1</v>
      </c>
      <c r="J5">
        <v>2</v>
      </c>
      <c r="K5" t="s">
        <v>662</v>
      </c>
      <c r="M5" t="s">
        <v>1044</v>
      </c>
      <c r="N5" t="s">
        <v>558</v>
      </c>
      <c r="X5" t="str">
        <f>'Translate&amp;Prices&amp;Logo'!$B$565</f>
        <v>czarna</v>
      </c>
      <c r="Y5">
        <v>3</v>
      </c>
      <c r="AA5" t="s">
        <v>1040</v>
      </c>
      <c r="AB5" t="s">
        <v>2515</v>
      </c>
      <c r="AC5">
        <v>0</v>
      </c>
      <c r="AD5">
        <v>0</v>
      </c>
      <c r="AF5" t="s">
        <v>107</v>
      </c>
      <c r="AG5" t="s">
        <v>2516</v>
      </c>
      <c r="AY5" t="s">
        <v>1070</v>
      </c>
      <c r="AZ5" t="s">
        <v>1106</v>
      </c>
      <c r="BK5" t="s">
        <v>1047</v>
      </c>
      <c r="BV5" t="s">
        <v>2638</v>
      </c>
      <c r="BW5" t="s">
        <v>2639</v>
      </c>
      <c r="BY5" t="str">
        <f>'Translate&amp;Prices&amp;Logo'!$B$227</f>
        <v>W górę</v>
      </c>
      <c r="BZ5">
        <v>3</v>
      </c>
      <c r="CA5">
        <v>76</v>
      </c>
      <c r="CD5" t="s">
        <v>1050</v>
      </c>
      <c r="CE5">
        <v>1</v>
      </c>
      <c r="CF5">
        <v>0</v>
      </c>
      <c r="ED5" t="s">
        <v>1773</v>
      </c>
      <c r="EE5" t="s">
        <v>1867</v>
      </c>
      <c r="EJ5">
        <v>3</v>
      </c>
      <c r="EK5" t="s">
        <v>76</v>
      </c>
      <c r="EN5" t="str">
        <f>'Translate&amp;Prices&amp;Logo'!B640</f>
        <v>Folia</v>
      </c>
      <c r="EO5">
        <v>3</v>
      </c>
      <c r="ER5" t="s">
        <v>2588</v>
      </c>
      <c r="ES5" t="s">
        <v>2589</v>
      </c>
      <c r="EV5">
        <v>5</v>
      </c>
      <c r="EW5" t="s">
        <v>2300</v>
      </c>
      <c r="EY5" s="271" t="str">
        <f>'Translate&amp;Prices&amp;Logo'!B167</f>
        <v>siatka elox - oko 10x6x1 mm</v>
      </c>
      <c r="FA5" s="75" t="str">
        <f>'Translate&amp;Prices&amp;Logo'!B647</f>
        <v>520408 SALICE AIR SOFT zawiasy niklowe z zestawem adapterów 2 szt</v>
      </c>
      <c r="FD5" s="293"/>
    </row>
    <row r="6" spans="1:164">
      <c r="A6" t="str">
        <f>'Translate&amp;Prices&amp;Logo'!$B$11</f>
        <v>BRW szczotkowany - maksymalna zalecana długość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W dół</v>
      </c>
      <c r="BZ6">
        <v>4</v>
      </c>
      <c r="CA6">
        <v>96</v>
      </c>
      <c r="CD6" t="s">
        <v>1053</v>
      </c>
      <c r="CE6">
        <v>1</v>
      </c>
      <c r="CF6">
        <v>1</v>
      </c>
      <c r="ED6" t="s">
        <v>1774</v>
      </c>
      <c r="EE6" t="s">
        <v>1868</v>
      </c>
      <c r="EJ6">
        <v>4</v>
      </c>
      <c r="EK6" t="s">
        <v>77</v>
      </c>
      <c r="ER6" t="s">
        <v>2590</v>
      </c>
      <c r="ES6" t="s">
        <v>2591</v>
      </c>
      <c r="FA6" s="75" t="str">
        <f>'Translate&amp;Prices&amp;Logo'!B648</f>
        <v>520410 SALICE AIR SOFT TITANIUM  zawiasy o kącie otwarcia 92° kpl. 2 szt</v>
      </c>
    </row>
    <row r="7" spans="1:164">
      <c r="A7" t="str">
        <f>'Translate&amp;Prices&amp;Logo'!$B$12</f>
        <v>BRW Czarny matowy - maksymalna zalecana długość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zawiasy komplet 2 szt</v>
      </c>
      <c r="FD7" s="293"/>
    </row>
    <row r="8" spans="1:164">
      <c r="A8" t="str">
        <f>'Translate&amp;Prices&amp;Logo'!$B$14</f>
        <v>BRW czarna szczotka - maksymalna zalecana długość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zawiasy z zestawem adapterów 2 szt</v>
      </c>
    </row>
    <row r="9" spans="1:164">
      <c r="A9" t="str">
        <f>'Translate&amp;Prices&amp;Logo'!$B$15</f>
        <v>BRW acier grata - maksymalna zalecana długość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zawiasy z zestawem adapterów 2 szt</v>
      </c>
    </row>
    <row r="10" spans="1:164">
      <c r="A10" t="str">
        <f>'Translate&amp;Prices&amp;Logo'!$B$7</f>
        <v>BRW antracyt RAL 7021 - maksymalna zalecana długość profilu 2500 mm</v>
      </c>
      <c r="B10">
        <v>1</v>
      </c>
      <c r="C10" t="s">
        <v>662</v>
      </c>
      <c r="D10">
        <v>0</v>
      </c>
      <c r="M10" t="str">
        <f>'Translate&amp;Prices&amp;Logo'!B558</f>
        <v>Poziomo (termin dostawy 4 tygodnie)</v>
      </c>
      <c r="N10">
        <f>IF(Ram_3!$H$9=kombinace_3!M10,1,0)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4">
      <c r="A11" t="str">
        <f>'Translate&amp;Prices&amp;Logo'!$B$69</f>
        <v>BRW champagne - maksymalna zalecana długość profilu 2500 mm</v>
      </c>
      <c r="B11">
        <v>1</v>
      </c>
      <c r="C11" t="s">
        <v>662</v>
      </c>
      <c r="D11">
        <v>0</v>
      </c>
      <c r="M11" t="str">
        <f>'Translate&amp;Prices&amp;Logo'!B559</f>
        <v>Pionowo (termin dostawy 4 tygodnie)</v>
      </c>
      <c r="N11">
        <f>IF(Ram_3!$H$9=kombinace_3!M11,2,0)</f>
        <v>0</v>
      </c>
      <c r="AC11">
        <v>0</v>
      </c>
      <c r="AD11">
        <v>0</v>
      </c>
      <c r="AF11" t="s">
        <v>107</v>
      </c>
      <c r="AG11" t="s">
        <v>1055</v>
      </c>
      <c r="AY11" t="s">
        <v>1040</v>
      </c>
      <c r="AZ11" t="s">
        <v>1111</v>
      </c>
      <c r="BQ11" s="273" t="s">
        <v>2390</v>
      </c>
      <c r="BY11">
        <v>5</v>
      </c>
      <c r="CA11">
        <v>240</v>
      </c>
      <c r="CD11" t="str">
        <f>CONCATENATE('Translate&amp;Prices&amp;Logo'!B664,"_K12")</f>
        <v>dolny_K12</v>
      </c>
      <c r="CE11">
        <v>1</v>
      </c>
      <c r="CF11">
        <v>0</v>
      </c>
      <c r="DN11" t="s">
        <v>70</v>
      </c>
      <c r="DO11" s="2" t="s">
        <v>70</v>
      </c>
      <c r="ED11" t="s">
        <v>1779</v>
      </c>
      <c r="EE11" t="s">
        <v>1873</v>
      </c>
      <c r="ER11" t="s">
        <v>2280</v>
      </c>
      <c r="ES11" t="s">
        <v>2286</v>
      </c>
      <c r="FD11" s="293"/>
    </row>
    <row r="12" spans="1:164">
      <c r="A12" t="str">
        <f>'Translate&amp;Prices&amp;Logo'!$B$70</f>
        <v>BRW champagne light - maksymalna zalecana długość profilu 2500 mm</v>
      </c>
      <c r="B12">
        <v>1</v>
      </c>
      <c r="C12" t="s">
        <v>662</v>
      </c>
      <c r="D12">
        <v>0</v>
      </c>
      <c r="M12" t="str">
        <f>'Translate&amp;Prices&amp;Logo'!B560</f>
        <v>Poziomo i pionowo (termin dostawy 4 tygodnie)</v>
      </c>
      <c r="N12">
        <f>IF(Ram_3!$H$9=kombinace_3!M12,3,0)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4">
      <c r="A13" t="str">
        <f>'Translate&amp;Prices&amp;Logo'!$B$10</f>
        <v>BRW brąz - maksymalna zalecana długość profilu 2500 mm</v>
      </c>
      <c r="B13">
        <v>1</v>
      </c>
      <c r="C13" t="s">
        <v>662</v>
      </c>
      <c r="D13">
        <v>0</v>
      </c>
      <c r="AC13">
        <v>0</v>
      </c>
      <c r="AD13">
        <v>0</v>
      </c>
      <c r="AF13" t="s">
        <v>107</v>
      </c>
      <c r="AG13" t="s">
        <v>1058</v>
      </c>
      <c r="AY13" t="s">
        <v>1040</v>
      </c>
      <c r="AZ13" t="s">
        <v>1113</v>
      </c>
      <c r="BQ13" s="274"/>
      <c r="BR13" t="s">
        <v>1052</v>
      </c>
      <c r="BY13" t="str">
        <f>'Translate&amp;Prices&amp;Logo'!$B$558</f>
        <v>Poziomo (termin dostawy 4 tygodnie)</v>
      </c>
      <c r="BZ13">
        <v>1</v>
      </c>
      <c r="CA13">
        <v>288</v>
      </c>
      <c r="CD13" t="str">
        <f>CONCATENATE('Translate&amp;Prices&amp;Logo'!B664,"_kraby")</f>
        <v>dolny_kraby</v>
      </c>
      <c r="CE13">
        <v>1</v>
      </c>
      <c r="CF13">
        <v>0</v>
      </c>
      <c r="DN13" t="s">
        <v>222</v>
      </c>
      <c r="DO13" s="2" t="s">
        <v>69</v>
      </c>
      <c r="ED13" t="s">
        <v>2648</v>
      </c>
      <c r="EE13" t="s">
        <v>2647</v>
      </c>
      <c r="ER13" t="s">
        <v>2282</v>
      </c>
      <c r="ES13" t="s">
        <v>2282</v>
      </c>
    </row>
    <row r="14" spans="1:164">
      <c r="A14" t="str">
        <f>'Translate&amp;Prices&amp;Logo'!$B$16</f>
        <v>BRW INOX (stal nierdzewna) - maksymalna zalecana długość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Pionowo (termin dostawy 4 tygodnie)</v>
      </c>
      <c r="BZ14">
        <v>2</v>
      </c>
      <c r="CA14">
        <v>320</v>
      </c>
      <c r="CD14" t="s">
        <v>1066</v>
      </c>
      <c r="CE14">
        <v>1</v>
      </c>
      <c r="CF14">
        <v>0</v>
      </c>
      <c r="DN14" t="s">
        <v>223</v>
      </c>
      <c r="DO14" s="2" t="s">
        <v>70</v>
      </c>
      <c r="ED14" t="s">
        <v>1781</v>
      </c>
      <c r="EE14" t="s">
        <v>1875</v>
      </c>
      <c r="ER14" t="s">
        <v>2283</v>
      </c>
      <c r="ES14" t="s">
        <v>2283</v>
      </c>
    </row>
    <row r="15" spans="1:164">
      <c r="A15" t="str">
        <f>'Translate&amp;Prices&amp;Logo'!$B$13</f>
        <v>BRW złota- maksymalna zalecana długość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Poziomo i pionowo (termin dostawy 4 tygodnie)</v>
      </c>
      <c r="BZ15">
        <v>3</v>
      </c>
      <c r="CA15">
        <v>384</v>
      </c>
      <c r="CD15" t="s">
        <v>1067</v>
      </c>
      <c r="CE15">
        <v>1</v>
      </c>
      <c r="CF15">
        <v>0</v>
      </c>
      <c r="DN15" t="s">
        <v>1254</v>
      </c>
      <c r="DO15" s="2" t="s">
        <v>71</v>
      </c>
      <c r="ED15" t="s">
        <v>1782</v>
      </c>
      <c r="EE15" t="s">
        <v>1876</v>
      </c>
      <c r="ER15" t="s">
        <v>2284</v>
      </c>
      <c r="ES15" t="s">
        <v>2284</v>
      </c>
      <c r="FD15" s="293"/>
    </row>
    <row r="16" spans="1:164">
      <c r="A16" t="str">
        <f>'Translate&amp;Prices&amp;Logo'!$B$55</f>
        <v>BRW złota szczotkowany - maksymalna zalecana zalecana długość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StrongLift_gorny</v>
      </c>
      <c r="CE16">
        <v>1</v>
      </c>
      <c r="CF16">
        <v>1</v>
      </c>
      <c r="DN16" t="s">
        <v>286</v>
      </c>
      <c r="DO16" s="2" t="s">
        <v>69</v>
      </c>
      <c r="ED16" t="s">
        <v>1783</v>
      </c>
      <c r="EE16" t="s">
        <v>1877</v>
      </c>
      <c r="ER16" t="s">
        <v>2587</v>
      </c>
      <c r="ES16" t="s">
        <v>2587</v>
      </c>
      <c r="FD16" s="293"/>
    </row>
    <row r="17" spans="1:160">
      <c r="A17" t="str">
        <f>'Translate&amp;Prices&amp;Logo'!$B$17</f>
        <v>Corleone (elox.)- maksymalna zalecana długość profilu 1500 mm</v>
      </c>
      <c r="B17">
        <v>2</v>
      </c>
      <c r="C17" t="s">
        <v>662</v>
      </c>
      <c r="D17">
        <v>0</v>
      </c>
      <c r="E17">
        <v>3</v>
      </c>
      <c r="F17">
        <f>'Translate&amp;Prices&amp;Logo'!$B$82</f>
        <v>0</v>
      </c>
      <c r="AA17" t="s">
        <v>1052</v>
      </c>
      <c r="AB17" t="str">
        <f>IF(Ram_3!AU7=2,"FREEspace"," ")</f>
        <v>FREEspace</v>
      </c>
      <c r="AC17">
        <v>0</v>
      </c>
      <c r="AD17">
        <v>0</v>
      </c>
      <c r="AF17" t="s">
        <v>107</v>
      </c>
      <c r="AG17" t="s">
        <v>1061</v>
      </c>
      <c r="AY17" t="s">
        <v>2577</v>
      </c>
      <c r="AZ17" t="s">
        <v>2579</v>
      </c>
      <c r="CA17">
        <v>480</v>
      </c>
      <c r="CD17" t="str">
        <f>'Translate&amp;Prices&amp;Logo'!B660</f>
        <v>StrongLift_dolny</v>
      </c>
      <c r="CE17">
        <v>1</v>
      </c>
      <c r="CF17">
        <v>1</v>
      </c>
      <c r="DN17" t="s">
        <v>1363</v>
      </c>
      <c r="DO17" s="2" t="s">
        <v>70</v>
      </c>
      <c r="ED17" t="s">
        <v>1784</v>
      </c>
      <c r="EE17" t="s">
        <v>1878</v>
      </c>
      <c r="ER17" t="s">
        <v>2589</v>
      </c>
      <c r="ES17" t="s">
        <v>2589</v>
      </c>
      <c r="FD17" s="293"/>
    </row>
    <row r="18" spans="1:160">
      <c r="A18" t="str">
        <f>'Translate&amp;Prices&amp;Logo'!$B$18</f>
        <v>Corleone czarny matowy - maksymalna zalecana długość profilu 1500 mm</v>
      </c>
      <c r="B18">
        <v>2</v>
      </c>
      <c r="C18" t="s">
        <v>662</v>
      </c>
      <c r="D18">
        <v>0</v>
      </c>
      <c r="E18">
        <v>3</v>
      </c>
      <c r="F18" t="str">
        <f>'Translate&amp;Prices&amp;Logo'!$B$80</f>
        <v>Rocca elox (lewa i prawa) + Varna elox (góra i dół)</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czarne  - maksymalna zalecana długość profilu 2150</v>
      </c>
      <c r="B19">
        <v>1</v>
      </c>
      <c r="C19" t="s">
        <v>1084</v>
      </c>
      <c r="D19">
        <v>0</v>
      </c>
      <c r="F19" t="str">
        <f>'Translate&amp;Prices&amp;Logo'!$B$81</f>
        <v>Rocca czarny (lewa i prawa) + Varna czarny (góra i dół)</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antracyt mat RAL 7021 mat lakier - maksymalna zalecana długość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maksymalna zalecana długość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Czarny matowy - maksymalna zalecana długość profilu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bialy matowy RAL 9003 - maksymalna zalecana długość profilu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złota - maksymalna zalecana zalecana długość profilu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maksymalna zalecana długość profilu 2500 mm</v>
      </c>
      <c r="B25">
        <v>2</v>
      </c>
      <c r="C25" t="s">
        <v>662</v>
      </c>
      <c r="D25">
        <v>0</v>
      </c>
      <c r="AF25" t="s">
        <v>107</v>
      </c>
      <c r="AG25" t="s">
        <v>1066</v>
      </c>
      <c r="BY25">
        <v>8</v>
      </c>
      <c r="ED25" t="s">
        <v>1792</v>
      </c>
      <c r="EE25" t="s">
        <v>1886</v>
      </c>
      <c r="ER25" t="s">
        <v>2292</v>
      </c>
      <c r="ES25" t="s">
        <v>2292</v>
      </c>
    </row>
    <row r="26" spans="1:160">
      <c r="A26" t="str">
        <f>'Translate&amp;Prices&amp;Logo'!$B$23</f>
        <v>Modena Czarny matowy - maksymalna zalecana długość profilu 2500 mm</v>
      </c>
      <c r="B26">
        <v>2</v>
      </c>
      <c r="C26" t="s">
        <v>662</v>
      </c>
      <c r="D26">
        <v>0</v>
      </c>
      <c r="AF26" t="s">
        <v>108</v>
      </c>
      <c r="AG26" t="s">
        <v>1066</v>
      </c>
      <c r="BY26">
        <v>9</v>
      </c>
      <c r="ED26" t="s">
        <v>1793</v>
      </c>
      <c r="EE26" t="s">
        <v>1887</v>
      </c>
      <c r="ER26" t="s">
        <v>2293</v>
      </c>
      <c r="ES26" t="s">
        <v>2293</v>
      </c>
    </row>
    <row r="27" spans="1:160">
      <c r="A27" t="str">
        <f>'Translate&amp;Prices&amp;Logo'!$B$25</f>
        <v>Modena czarna szczotka - maksymalna zalecana długość profilu 2500 mm</v>
      </c>
      <c r="B27">
        <v>2</v>
      </c>
      <c r="C27" t="s">
        <v>662</v>
      </c>
      <c r="D27">
        <v>0</v>
      </c>
      <c r="AF27" t="s">
        <v>107</v>
      </c>
      <c r="AG27" t="s">
        <v>1067</v>
      </c>
      <c r="BY27">
        <v>10</v>
      </c>
      <c r="ED27" t="s">
        <v>1794</v>
      </c>
      <c r="EE27" t="s">
        <v>1888</v>
      </c>
      <c r="ER27" t="s">
        <v>2294</v>
      </c>
      <c r="ES27" t="s">
        <v>2294</v>
      </c>
    </row>
    <row r="28" spans="1:160">
      <c r="A28" t="str">
        <f>'Translate&amp;Prices&amp;Logo'!$B$26</f>
        <v>Modena INOX (stal nierdzewna) - maksymalna zalecana długość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dolny_K12</v>
      </c>
      <c r="AC30">
        <v>1</v>
      </c>
      <c r="AD30">
        <v>0</v>
      </c>
      <c r="AF30" t="s">
        <v>108</v>
      </c>
      <c r="AG30" t="s">
        <v>1068</v>
      </c>
      <c r="ED30" t="s">
        <v>1797</v>
      </c>
      <c r="EE30" t="s">
        <v>1891</v>
      </c>
      <c r="ER30" t="s">
        <v>2600</v>
      </c>
      <c r="ES30" t="s">
        <v>2600</v>
      </c>
    </row>
    <row r="31" spans="1:160">
      <c r="A31" t="str">
        <f>'Translate&amp;Prices&amp;Logo'!$B$29</f>
        <v>Pisa (elox.) - maksymalna zalecana długość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biały połysk RAL 9003 - maksymalna zalecana zalecana długość profilu 2500 mm</v>
      </c>
      <c r="B32">
        <v>2</v>
      </c>
      <c r="C32" t="s">
        <v>1084</v>
      </c>
      <c r="D32">
        <v>0</v>
      </c>
      <c r="AA32" t="s">
        <v>1062</v>
      </c>
      <c r="AB32" t="str">
        <f>CONCATENATE('Translate&amp;Prices&amp;Logo'!B664,"_kraby")</f>
        <v>dolny_kraby</v>
      </c>
      <c r="AC32">
        <v>1</v>
      </c>
      <c r="AD32">
        <v>0</v>
      </c>
      <c r="AF32" t="s">
        <v>108</v>
      </c>
      <c r="AG32" t="s">
        <v>1069</v>
      </c>
      <c r="BY32" t="str">
        <f>'Translate&amp;Prices&amp;Logo'!$B$230</f>
        <v>W lewo</v>
      </c>
      <c r="BZ32" t="str">
        <f>'Translate&amp;Prices&amp;Logo'!$B$589</f>
        <v>(dolnej)</v>
      </c>
      <c r="CA32" t="str">
        <f>'Translate&amp;Prices&amp;Logo'!$B$591</f>
        <v>(górnej)</v>
      </c>
      <c r="CC32" t="str">
        <f>'Translate&amp;Prices&amp;Logo'!$O$589</f>
        <v>(dolnej)</v>
      </c>
      <c r="CD32" t="str">
        <f>'Translate&amp;Prices&amp;Logo'!$O$591</f>
        <v>(górnej)</v>
      </c>
      <c r="ED32" t="s">
        <v>1799</v>
      </c>
      <c r="EE32" t="s">
        <v>1893</v>
      </c>
      <c r="ER32" t="s">
        <v>2602</v>
      </c>
      <c r="ES32" t="s">
        <v>2602</v>
      </c>
    </row>
    <row r="33" spans="1:149">
      <c r="A33" t="str">
        <f>'Translate&amp;Prices&amp;Logo'!$B$30</f>
        <v>Pisa Czarny matowy - maksymalna zalecana długość profilu 2500 mm</v>
      </c>
      <c r="B33">
        <v>2</v>
      </c>
      <c r="C33" t="s">
        <v>1084</v>
      </c>
      <c r="D33">
        <v>0</v>
      </c>
      <c r="AA33" t="s">
        <v>1062</v>
      </c>
      <c r="AB33" t="s">
        <v>1066</v>
      </c>
      <c r="AC33">
        <v>1</v>
      </c>
      <c r="AD33">
        <v>0</v>
      </c>
      <c r="AF33" t="s">
        <v>107</v>
      </c>
      <c r="AG33" t="s">
        <v>1071</v>
      </c>
      <c r="BY33" t="str">
        <f>'Translate&amp;Prices&amp;Logo'!$B$229</f>
        <v>W prawo</v>
      </c>
      <c r="BZ33" t="str">
        <f>'Translate&amp;Prices&amp;Logo'!$B$589</f>
        <v>(dolnej)</v>
      </c>
      <c r="CA33" t="str">
        <f>'Translate&amp;Prices&amp;Logo'!$B$591</f>
        <v>(górnej)</v>
      </c>
      <c r="CC33" t="str">
        <f>'Translate&amp;Prices&amp;Logo'!$O$589</f>
        <v>(dolnej)</v>
      </c>
      <c r="CD33" t="str">
        <f>'Translate&amp;Prices&amp;Logo'!$O$591</f>
        <v>(górnej)</v>
      </c>
      <c r="ED33" t="s">
        <v>1800</v>
      </c>
      <c r="EE33" t="s">
        <v>1894</v>
      </c>
      <c r="ER33" t="s">
        <v>2603</v>
      </c>
      <c r="ES33" t="s">
        <v>2603</v>
      </c>
    </row>
    <row r="34" spans="1:149">
      <c r="A34" t="str">
        <f>'Translate&amp;Prices&amp;Logo'!$B$58</f>
        <v>Pisa złota - maksymalna zalecana długość profilu 2150 mm</v>
      </c>
      <c r="B34">
        <v>2</v>
      </c>
      <c r="C34" t="s">
        <v>1084</v>
      </c>
      <c r="D34">
        <v>0</v>
      </c>
      <c r="AB34" t="s">
        <v>1067</v>
      </c>
      <c r="AC34">
        <v>1</v>
      </c>
      <c r="AD34">
        <v>0</v>
      </c>
      <c r="AF34" t="s">
        <v>108</v>
      </c>
      <c r="AG34" t="s">
        <v>1071</v>
      </c>
      <c r="BY34" t="str">
        <f>'Translate&amp;Prices&amp;Logo'!$B$227</f>
        <v>W górę</v>
      </c>
      <c r="BZ34" t="str">
        <f>'Translate&amp;Prices&amp;Logo'!$B$590</f>
        <v>(lewej)</v>
      </c>
      <c r="CA34" t="str">
        <f>'Translate&amp;Prices&amp;Logo'!$B$592</f>
        <v>(prawej)</v>
      </c>
      <c r="CC34" t="str">
        <f>'Translate&amp;Prices&amp;Logo'!$O$590</f>
        <v>(lewej)</v>
      </c>
      <c r="CD34" t="str">
        <f>'Translate&amp;Prices&amp;Logo'!$O$592</f>
        <v>(prawej)</v>
      </c>
      <c r="ED34" t="s">
        <v>1801</v>
      </c>
      <c r="EE34" t="s">
        <v>1895</v>
      </c>
      <c r="ER34" t="s">
        <v>2295</v>
      </c>
      <c r="ES34" t="s">
        <v>2295</v>
      </c>
    </row>
    <row r="35" spans="1:149">
      <c r="A35" t="str">
        <f>'Translate&amp;Prices&amp;Logo'!$B$50</f>
        <v>Rocca (elox.) - maksymalna zalecana zalecana długość profilu 2150 mm</v>
      </c>
      <c r="B35">
        <v>1</v>
      </c>
      <c r="C35" t="s">
        <v>662</v>
      </c>
      <c r="D35">
        <v>0</v>
      </c>
      <c r="BY35" t="str">
        <f>'Translate&amp;Prices&amp;Logo'!$B$228</f>
        <v>W dół</v>
      </c>
      <c r="BZ35" t="str">
        <f>'Translate&amp;Prices&amp;Logo'!$B$590</f>
        <v>(lewej)</v>
      </c>
      <c r="CA35" t="str">
        <f>'Translate&amp;Prices&amp;Logo'!$B$592</f>
        <v>(prawej)</v>
      </c>
      <c r="CC35" t="str">
        <f>'Translate&amp;Prices&amp;Logo'!$O$590</f>
        <v>(lewej)</v>
      </c>
      <c r="CD35" t="str">
        <f>'Translate&amp;Prices&amp;Logo'!$O$592</f>
        <v>(prawej)</v>
      </c>
      <c r="ED35" t="s">
        <v>1802</v>
      </c>
      <c r="EE35" t="s">
        <v>1896</v>
      </c>
      <c r="ER35" t="s">
        <v>2296</v>
      </c>
      <c r="ES35" t="s">
        <v>2296</v>
      </c>
    </row>
    <row r="36" spans="1:149">
      <c r="A36" t="str">
        <f>'Translate&amp;Prices&amp;Logo'!$B$42</f>
        <v>Rocca czarny matowy - maksymalna zalecana zalecana długość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maksymalna zalecana zalecana długość profilu 2500 mm</v>
      </c>
      <c r="B39">
        <v>1</v>
      </c>
      <c r="C39" t="s">
        <v>662</v>
      </c>
      <c r="D39">
        <v>0</v>
      </c>
      <c r="AA39" t="s">
        <v>2641</v>
      </c>
      <c r="AB39" t="s">
        <v>2639</v>
      </c>
      <c r="ED39" t="s">
        <v>1744</v>
      </c>
      <c r="EE39" t="s">
        <v>1900</v>
      </c>
      <c r="ER39" t="s">
        <v>2344</v>
      </c>
      <c r="ES39" t="s">
        <v>2338</v>
      </c>
    </row>
    <row r="40" spans="1:149">
      <c r="A40" t="str">
        <f>'Translate&amp;Prices&amp;Logo'!$B$35</f>
        <v>Verona szczotkowany - maksymalna zalecana zalecana długość profilu 2500 mm</v>
      </c>
      <c r="B40">
        <v>1</v>
      </c>
      <c r="C40" t="s">
        <v>662</v>
      </c>
      <c r="D40">
        <v>0</v>
      </c>
      <c r="AA40" t="s">
        <v>2641</v>
      </c>
      <c r="AB40" t="str">
        <f>'Translate&amp;Prices&amp;Logo'!B659</f>
        <v>StrongLift_gorny</v>
      </c>
      <c r="AC40">
        <v>1</v>
      </c>
      <c r="AD40">
        <v>0</v>
      </c>
      <c r="ED40" t="s">
        <v>1745</v>
      </c>
      <c r="EE40" t="s">
        <v>1901</v>
      </c>
      <c r="ER40" t="s">
        <v>2345</v>
      </c>
      <c r="ES40" t="s">
        <v>2339</v>
      </c>
    </row>
    <row r="41" spans="1:149">
      <c r="A41" t="str">
        <f>'Translate&amp;Prices&amp;Logo'!$B$37</f>
        <v>Verona czarny matowy - maksymalna zalecana zalecana długość profilu 2500 mm</v>
      </c>
      <c r="B41">
        <v>1</v>
      </c>
      <c r="C41" t="s">
        <v>662</v>
      </c>
      <c r="D41">
        <v>0</v>
      </c>
      <c r="AB41" t="str">
        <f>'Translate&amp;Prices&amp;Logo'!B660</f>
        <v>StrongLift_dolny</v>
      </c>
      <c r="AC41">
        <v>1</v>
      </c>
      <c r="AD41">
        <v>0</v>
      </c>
      <c r="ED41" t="s">
        <v>1746</v>
      </c>
      <c r="EE41" t="s">
        <v>1902</v>
      </c>
      <c r="ER41" t="s">
        <v>2346</v>
      </c>
      <c r="ES41" t="s">
        <v>2340</v>
      </c>
    </row>
    <row r="42" spans="1:149">
      <c r="A42" t="str">
        <f>'Translate&amp;Prices&amp;Logo'!$B$36</f>
        <v>Verona czarny połysk - maksymalna zalecana zalecana długość profilu 2500 mm</v>
      </c>
      <c r="B42">
        <v>1</v>
      </c>
      <c r="C42" t="s">
        <v>662</v>
      </c>
      <c r="D42">
        <v>0</v>
      </c>
      <c r="AA42" t="s">
        <v>2207</v>
      </c>
      <c r="AB42" t="s">
        <v>1097</v>
      </c>
      <c r="ED42" t="s">
        <v>1747</v>
      </c>
      <c r="EE42" t="s">
        <v>1903</v>
      </c>
      <c r="ER42" t="s">
        <v>2347</v>
      </c>
      <c r="ES42" t="s">
        <v>2341</v>
      </c>
    </row>
    <row r="43" spans="1:149">
      <c r="A43" t="str">
        <f>'Translate&amp;Prices&amp;Logo'!$B$38</f>
        <v>Verona braz - maksymalna zalecana zalecana długość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szampański - maksymalna zalecana zalecana długość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Inox szczotkowany - maksymalna zalecana zalecana długość profilu 2500 mm</v>
      </c>
      <c r="B45">
        <v>1</v>
      </c>
      <c r="C45" t="s">
        <v>662</v>
      </c>
      <c r="D45">
        <v>0</v>
      </c>
      <c r="AB45" t="s">
        <v>1218</v>
      </c>
      <c r="AC45">
        <v>0</v>
      </c>
      <c r="AD45">
        <v>0</v>
      </c>
      <c r="ED45" t="s">
        <v>1750</v>
      </c>
      <c r="EE45" t="s">
        <v>1906</v>
      </c>
      <c r="ER45" t="s">
        <v>2366</v>
      </c>
      <c r="ES45" t="s">
        <v>2360</v>
      </c>
    </row>
    <row r="46" spans="1:149">
      <c r="A46" t="str">
        <f>'Translate&amp;Prices&amp;Logo'!$B$41</f>
        <v>Verona Inox Acier szczotkowany - maksymalna zalecana zalecana długość profilu 2500 mm</v>
      </c>
      <c r="B46">
        <v>1</v>
      </c>
      <c r="C46" t="s">
        <v>662</v>
      </c>
      <c r="D46">
        <v>0</v>
      </c>
      <c r="ED46" t="s">
        <v>1751</v>
      </c>
      <c r="EE46" t="s">
        <v>1907</v>
      </c>
      <c r="ER46" t="s">
        <v>2367</v>
      </c>
      <c r="ES46" t="s">
        <v>2361</v>
      </c>
    </row>
    <row r="47" spans="1:149">
      <c r="A47" t="str">
        <f>'Translate&amp;Prices&amp;Logo'!$B$24</f>
        <v>Verona złota - maksymalna zalecana długość profilu 2150 mm</v>
      </c>
      <c r="B47">
        <v>1</v>
      </c>
      <c r="C47" t="s">
        <v>662</v>
      </c>
      <c r="D47">
        <v>0</v>
      </c>
      <c r="ED47" t="s">
        <v>1752</v>
      </c>
      <c r="EE47" t="s">
        <v>1908</v>
      </c>
      <c r="ER47" t="s">
        <v>2368</v>
      </c>
      <c r="ES47" t="s">
        <v>2362</v>
      </c>
    </row>
    <row r="48" spans="1:149">
      <c r="A48" t="str">
        <f>'Translate&amp;Prices&amp;Logo'!$B$56</f>
        <v>Verona złota szczotkowany - maksymalna zalecana zalecana długość profilu 2150 mm</v>
      </c>
      <c r="B48">
        <v>1</v>
      </c>
      <c r="C48" t="s">
        <v>662</v>
      </c>
      <c r="D48">
        <v>0</v>
      </c>
      <c r="ED48" t="s">
        <v>1753</v>
      </c>
      <c r="EE48" t="s">
        <v>1909</v>
      </c>
      <c r="ER48" t="s">
        <v>2369</v>
      </c>
      <c r="ES48" t="s">
        <v>2363</v>
      </c>
    </row>
    <row r="49" spans="1:149">
      <c r="A49" t="str">
        <f>'Translate&amp;Prices&amp;Logo'!$B$43</f>
        <v>Vivaro (elox.) - maksymalna zalecana zalecana długość profilu 2500 mm</v>
      </c>
      <c r="B49">
        <v>2</v>
      </c>
      <c r="C49" t="s">
        <v>662</v>
      </c>
      <c r="D49">
        <v>1</v>
      </c>
      <c r="AA49" t="s">
        <v>2208</v>
      </c>
      <c r="AB49" t="s">
        <v>2210</v>
      </c>
      <c r="ED49" t="s">
        <v>1754</v>
      </c>
      <c r="EE49" t="s">
        <v>1910</v>
      </c>
      <c r="ER49" t="s">
        <v>2370</v>
      </c>
      <c r="ES49" t="s">
        <v>2364</v>
      </c>
    </row>
    <row r="50" spans="1:149">
      <c r="A50" t="str">
        <f>'Translate&amp;Prices&amp;Logo'!$B$44</f>
        <v>Vivaro czarny matowy - maksymalna zalecana zalecana długość profilu 2500 mm</v>
      </c>
      <c r="B50">
        <v>2</v>
      </c>
      <c r="C50" t="s">
        <v>662</v>
      </c>
      <c r="D50">
        <v>1</v>
      </c>
      <c r="AB50" t="s">
        <v>2515</v>
      </c>
      <c r="AC50">
        <v>0</v>
      </c>
      <c r="AD50">
        <v>0</v>
      </c>
      <c r="ED50" t="s">
        <v>1755</v>
      </c>
      <c r="EE50" t="s">
        <v>1911</v>
      </c>
      <c r="ER50" t="s">
        <v>2371</v>
      </c>
      <c r="ES50" t="s">
        <v>2365</v>
      </c>
    </row>
    <row r="51" spans="1:149">
      <c r="A51" t="str">
        <f>'Translate&amp;Prices&amp;Logo'!$B$46</f>
        <v>Vivaro INOX (stal nierdzewna) - maksymalna zalecana zalecana długość profilu 2500 mm</v>
      </c>
      <c r="B51">
        <v>2</v>
      </c>
      <c r="C51" t="s">
        <v>662</v>
      </c>
      <c r="D51">
        <v>0</v>
      </c>
      <c r="AB51" t="s">
        <v>2517</v>
      </c>
      <c r="AC51">
        <v>0</v>
      </c>
      <c r="AD51">
        <v>0</v>
      </c>
      <c r="ED51" t="s">
        <v>1756</v>
      </c>
      <c r="EE51" t="s">
        <v>1912</v>
      </c>
      <c r="ER51" t="s">
        <v>2614</v>
      </c>
      <c r="ES51" t="s">
        <v>2606</v>
      </c>
    </row>
    <row r="52" spans="1:149">
      <c r="A52" t="str">
        <f>'Translate&amp;Prices&amp;Logo'!$B$47</f>
        <v>Vivaro biały matowy RAL 9003 - maksymalna zalecana zalecana długość profilu 2500 mm</v>
      </c>
      <c r="B52">
        <v>2</v>
      </c>
      <c r="C52" t="s">
        <v>662</v>
      </c>
      <c r="D52">
        <v>0</v>
      </c>
      <c r="AB52" t="s">
        <v>2512</v>
      </c>
      <c r="AC52">
        <v>0</v>
      </c>
      <c r="AD52">
        <v>0</v>
      </c>
      <c r="ED52" t="s">
        <v>1757</v>
      </c>
      <c r="EE52" t="s">
        <v>1913</v>
      </c>
      <c r="ER52" t="s">
        <v>2615</v>
      </c>
      <c r="ES52" t="s">
        <v>2607</v>
      </c>
    </row>
    <row r="53" spans="1:149">
      <c r="A53" t="str">
        <f>'Translate&amp;Prices&amp;Logo'!$B$48</f>
        <v>Vivaro biały połysk RAL 9003 - maksymalna zalecana zalecana długość profilu 2500 mm</v>
      </c>
      <c r="B53">
        <v>2</v>
      </c>
      <c r="C53" t="s">
        <v>662</v>
      </c>
      <c r="D53">
        <v>0</v>
      </c>
      <c r="AB53" t="s">
        <v>2513</v>
      </c>
      <c r="AC53">
        <v>0</v>
      </c>
      <c r="AD53">
        <v>0</v>
      </c>
      <c r="ED53" t="s">
        <v>1758</v>
      </c>
      <c r="EE53" t="s">
        <v>1914</v>
      </c>
      <c r="ER53" t="s">
        <v>2616</v>
      </c>
      <c r="ES53" t="s">
        <v>2608</v>
      </c>
    </row>
    <row r="54" spans="1:149">
      <c r="A54" t="str">
        <f>'Translate&amp;Prices&amp;Logo'!$B$31</f>
        <v>Vivaro złota - maksymalna zalecana zalecana długość profilu 2150 mm</v>
      </c>
      <c r="B54">
        <v>2</v>
      </c>
      <c r="C54" t="s">
        <v>662</v>
      </c>
      <c r="D54">
        <v>1</v>
      </c>
      <c r="ED54" t="s">
        <v>1759</v>
      </c>
      <c r="EE54" t="s">
        <v>1915</v>
      </c>
      <c r="ER54" t="s">
        <v>2617</v>
      </c>
      <c r="ES54" t="s">
        <v>2609</v>
      </c>
    </row>
    <row r="55" spans="1:149">
      <c r="A55" t="str">
        <f>'Translate&amp;Prices&amp;Logo'!$B$57</f>
        <v>Vivaro złota szczotkowany - maksymalna zalecana zalecana długość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(lewa i prawa) + Varna elox (góra i dół)</v>
      </c>
      <c r="B60">
        <v>3</v>
      </c>
      <c r="C60" t="s">
        <v>662</v>
      </c>
      <c r="D60">
        <v>0</v>
      </c>
      <c r="AB60" t="s">
        <v>1054</v>
      </c>
      <c r="AC60">
        <v>0</v>
      </c>
      <c r="AD60">
        <v>0</v>
      </c>
      <c r="ED60" t="s">
        <v>1765</v>
      </c>
      <c r="EE60" t="s">
        <v>1921</v>
      </c>
      <c r="ER60" t="s">
        <v>2351</v>
      </c>
      <c r="ES60" t="s">
        <v>2339</v>
      </c>
    </row>
    <row r="61" spans="1:149">
      <c r="A61" t="str">
        <f>'Translate&amp;Prices&amp;Logo'!$B$81</f>
        <v>Rocca czarny (lewa i prawa) + Varna czarny (góra i dół)</v>
      </c>
      <c r="B61">
        <v>3</v>
      </c>
      <c r="C61" t="s">
        <v>662</v>
      </c>
      <c r="D61">
        <v>0</v>
      </c>
      <c r="AB61" t="s">
        <v>1056</v>
      </c>
      <c r="AC61">
        <v>0</v>
      </c>
      <c r="AD61">
        <v>0</v>
      </c>
      <c r="ED61" t="s">
        <v>1766</v>
      </c>
      <c r="EE61" t="s">
        <v>1922</v>
      </c>
      <c r="ER61" t="s">
        <v>2352</v>
      </c>
      <c r="ES61" t="s">
        <v>2340</v>
      </c>
    </row>
    <row r="62" spans="1:149">
      <c r="A62" t="str">
        <f>'Translate&amp;Prices&amp;Logo'!$B$71</f>
        <v>ROMA czarna matowa -  maksymalna zalecana długość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maksymalna zalecana długość profilu 2696 mm</v>
      </c>
      <c r="B63">
        <v>1</v>
      </c>
      <c r="C63" t="s">
        <v>662</v>
      </c>
      <c r="D63">
        <v>0</v>
      </c>
      <c r="AB63" t="s">
        <v>1059</v>
      </c>
      <c r="AC63">
        <v>0</v>
      </c>
      <c r="AD63">
        <v>0</v>
      </c>
      <c r="ED63" t="s">
        <v>1768</v>
      </c>
      <c r="EE63" t="s">
        <v>1924</v>
      </c>
      <c r="ER63" t="s">
        <v>2620</v>
      </c>
      <c r="ES63" t="s">
        <v>2604</v>
      </c>
    </row>
    <row r="64" spans="1:149">
      <c r="A64" t="str">
        <f>'Translate&amp;Prices&amp;Logo'!$B$73</f>
        <v>ROMA GRIP czarna matowa - maksymalna zalecana długość profilu 2696 mm</v>
      </c>
      <c r="B64">
        <v>1</v>
      </c>
      <c r="C64" t="s">
        <v>662</v>
      </c>
      <c r="D64">
        <v>0</v>
      </c>
      <c r="ED64" t="s">
        <v>1769</v>
      </c>
      <c r="EE64" t="s">
        <v>1925</v>
      </c>
      <c r="ER64" t="s">
        <v>2621</v>
      </c>
      <c r="ES64" t="s">
        <v>2605</v>
      </c>
    </row>
    <row r="65" spans="1:149">
      <c r="A65" t="str">
        <f>'Translate&amp;Prices&amp;Logo'!$B$74</f>
        <v>ROMA GRIP champagne mat - maksymalna zalecana długość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maksymalna zalecana długość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632"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631" priority="3" stopIfTrue="1">
      <formula>AND(COUNTIF($A$37:$A$41, A17)+COUNTIF($A$3:$A$15, A17)+COUNTIF($A$17:$A$31, A17)+COUNTIF($A$33:$A$35, A17)+COUNTIF($A$43:$A$47, A17)+COUNTIF($A$49:$A$54, A17)+COUNTIF($A$56:$A$99, A17)&gt;1,NOT(ISBLANK(A17)))</formula>
    </cfRule>
  </conditionalFormatting>
  <conditionalFormatting sqref="A34 A54 A56 A62:A65">
    <cfRule type="expression" dxfId="630" priority="2" stopIfTrue="1">
      <formula>AND(COUNTIF($A$54:$A$54, A34)+COUNTIF($A$56:$A$59, A34)+COUNTIF($A$34:$A$34, A34)&gt;1,NOT(ISBLANK(A34)))</formula>
    </cfRule>
  </conditionalFormatting>
  <conditionalFormatting sqref="A72:A99 DW346:DW347">
    <cfRule type="expression" dxfId="629" priority="635" stopIfTrue="1">
      <formula>AND(COUNTIF($A$38:$A$42, A72)+COUNTIF($A$3:$A$15, A72)+COUNTIF($A$17:$A$31, A72)+COUNTIF($A$34:$A$36, A72)+COUNTIF($A$44:$A$48, A72)+COUNTIF($A$50:$A$55, A72)+COUNTIF($A$57:$A$99, A72)&gt;1,NOT(ISBLANK(A72)))</formula>
    </cfRule>
  </conditionalFormatting>
  <conditionalFormatting sqref="F14:F19">
    <cfRule type="duplicateValues" dxfId="628" priority="17"/>
  </conditionalFormatting>
  <conditionalFormatting sqref="P2:P61 P63:P65536">
    <cfRule type="expression" dxfId="627" priority="33" stopIfTrue="1">
      <formula>AND(COUNTIF($P$63:$P$65536, P2)+COUNTIF($P$2:$P$61, P2)&gt;1,NOT(ISBLANK(P2)))</formula>
    </cfRule>
  </conditionalFormatting>
  <conditionalFormatting sqref="Q2 Q4 Q6:Q12 Q15:Q20 Q22:Q23 Q26:Q54 S27:S30 Q68:Q65536">
    <cfRule type="expression" dxfId="626" priority="43" stopIfTrue="1">
      <formula>AND(COUNTIF($Q$68:$Q$65536, Q2)+COUNTIF($Q$2:$Q$2, Q2)+COUNTIF($Q$4:$Q$4, Q2)+COUNTIF($Q$6:$Q$54, Q2)&gt;1,NOT(ISBLANK(Q2)))</formula>
    </cfRule>
  </conditionalFormatting>
  <conditionalFormatting sqref="R4:R6">
    <cfRule type="duplicateValues" dxfId="625" priority="28"/>
  </conditionalFormatting>
  <conditionalFormatting sqref="R7 R9">
    <cfRule type="duplicateValues" dxfId="624" priority="40"/>
  </conditionalFormatting>
  <conditionalFormatting sqref="R10">
    <cfRule type="duplicateValues" dxfId="623" priority="27"/>
  </conditionalFormatting>
  <conditionalFormatting sqref="R11:R18 R29:R33">
    <cfRule type="duplicateValues" dxfId="622" priority="42"/>
  </conditionalFormatting>
  <conditionalFormatting sqref="R19:R20 R37:R39 R34">
    <cfRule type="duplicateValues" dxfId="621" priority="36"/>
  </conditionalFormatting>
  <conditionalFormatting sqref="R21:R23">
    <cfRule type="duplicateValues" dxfId="620" priority="26"/>
  </conditionalFormatting>
  <conditionalFormatting sqref="R49:R55">
    <cfRule type="duplicateValues" dxfId="619" priority="29"/>
  </conditionalFormatting>
  <conditionalFormatting sqref="R49:R61 R2 R63:R65536">
    <cfRule type="expression" dxfId="618" priority="32" stopIfTrue="1">
      <formula>AND(COUNTIF($R$2:$R$2, R2)+COUNTIF($R$63:$R$65536, R2)+COUNTIF($R$49:$R$61, R2)&gt;1,NOT(ISBLANK(R2)))</formula>
    </cfRule>
  </conditionalFormatting>
  <conditionalFormatting sqref="R56:R57">
    <cfRule type="duplicateValues" dxfId="617" priority="30"/>
  </conditionalFormatting>
  <conditionalFormatting sqref="R58:R61 R63">
    <cfRule type="expression" dxfId="616" priority="34" stopIfTrue="1">
      <formula>AND(COUNTIF($R$63:$R$63, R58)+COUNTIF($R$58:$R$61, R58)&gt;1,NOT(ISBLANK(R58)))</formula>
    </cfRule>
  </conditionalFormatting>
  <conditionalFormatting sqref="S4">
    <cfRule type="duplicateValues" dxfId="615" priority="25"/>
  </conditionalFormatting>
  <conditionalFormatting sqref="S6:S8 S10">
    <cfRule type="duplicateValues" dxfId="614" priority="47"/>
  </conditionalFormatting>
  <conditionalFormatting sqref="S12:S17">
    <cfRule type="duplicateValues" dxfId="613" priority="24"/>
  </conditionalFormatting>
  <conditionalFormatting sqref="S18:S19">
    <cfRule type="duplicateValues" dxfId="612" priority="23"/>
  </conditionalFormatting>
  <conditionalFormatting sqref="S20:S26">
    <cfRule type="duplicateValues" dxfId="611" priority="41"/>
  </conditionalFormatting>
  <conditionalFormatting sqref="S31:S52">
    <cfRule type="duplicateValues" dxfId="610" priority="46"/>
  </conditionalFormatting>
  <conditionalFormatting sqref="T4">
    <cfRule type="duplicateValues" dxfId="609" priority="22"/>
  </conditionalFormatting>
  <conditionalFormatting sqref="U4:U6">
    <cfRule type="duplicateValues" dxfId="608" priority="21"/>
  </conditionalFormatting>
  <conditionalFormatting sqref="U7:U14 U26:U30">
    <cfRule type="duplicateValues" dxfId="607" priority="44"/>
  </conditionalFormatting>
  <conditionalFormatting sqref="U15:U16 U31:U32">
    <cfRule type="duplicateValues" dxfId="606" priority="37"/>
  </conditionalFormatting>
  <conditionalFormatting sqref="U17:U19">
    <cfRule type="duplicateValues" dxfId="605" priority="20"/>
  </conditionalFormatting>
  <conditionalFormatting sqref="V4:V6">
    <cfRule type="duplicateValues" dxfId="604" priority="19"/>
  </conditionalFormatting>
  <conditionalFormatting sqref="V17:V19">
    <cfRule type="duplicateValues" dxfId="603" priority="18"/>
  </conditionalFormatting>
  <conditionalFormatting sqref="V21:V30 V7:V14">
    <cfRule type="duplicateValues" dxfId="602" priority="45"/>
  </conditionalFormatting>
  <conditionalFormatting sqref="V31:V32 V15:V16">
    <cfRule type="duplicateValues" dxfId="601" priority="38"/>
  </conditionalFormatting>
  <conditionalFormatting sqref="AC4:AC13 AC15:AC23 AC29:AC34 AC40:AC41 AC43:AC45 AC50:AC53 AC60:AC63">
    <cfRule type="cellIs" dxfId="600" priority="31" operator="equal">
      <formula>1</formula>
    </cfRule>
  </conditionalFormatting>
  <conditionalFormatting sqref="BQ9:BQ10">
    <cfRule type="duplicateValues" dxfId="599" priority="15"/>
  </conditionalFormatting>
  <conditionalFormatting sqref="BQ2:BR2">
    <cfRule type="duplicateValues" dxfId="598" priority="16"/>
  </conditionalFormatting>
  <conditionalFormatting sqref="DT2:DT44">
    <cfRule type="duplicateValues" dxfId="595" priority="9"/>
  </conditionalFormatting>
  <conditionalFormatting sqref="DT2:DT570">
    <cfRule type="duplicateValues" dxfId="594" priority="4"/>
  </conditionalFormatting>
  <conditionalFormatting sqref="DT45:DT87">
    <cfRule type="duplicateValues" dxfId="593" priority="7"/>
  </conditionalFormatting>
  <conditionalFormatting sqref="DT88:DT130">
    <cfRule type="duplicateValues" dxfId="592" priority="8"/>
  </conditionalFormatting>
  <conditionalFormatting sqref="DT131:DT173">
    <cfRule type="duplicateValues" dxfId="591" priority="10"/>
  </conditionalFormatting>
  <conditionalFormatting sqref="DT174:DT217">
    <cfRule type="duplicateValues" dxfId="590" priority="11"/>
  </conditionalFormatting>
  <conditionalFormatting sqref="DT257:DT287">
    <cfRule type="duplicateValues" dxfId="589" priority="14"/>
  </conditionalFormatting>
  <conditionalFormatting sqref="DU257:DU286">
    <cfRule type="duplicateValues" dxfId="588" priority="13"/>
  </conditionalFormatting>
  <conditionalFormatting sqref="DU287">
    <cfRule type="duplicateValues" dxfId="587"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28B98973-0A3C-4820-8F9B-6BB1BE5DC7E1}">
            <xm:f>OR(Ram_3!$AU$10=1,Ram_3!$AU$10=3)</xm:f>
            <x14:dxf>
              <fill>
                <patternFill patternType="darkDown"/>
              </fill>
            </x14:dxf>
          </x14:cfRule>
          <xm:sqref>CH13</xm:sqref>
        </x14:conditionalFormatting>
        <x14:conditionalFormatting xmlns:xm="http://schemas.microsoft.com/office/excel/2006/main">
          <x14:cfRule type="expression" priority="6" id="{77E6CA1E-5B4B-4B8F-9196-FC9385E7FC28}">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"&amp;4</f>
        <v>Ramka  4</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Wprowadzenie</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IFERROR(IF(kombinace_4!FC2=TRUE,'Translate&amp;Prices&amp;Logo'!B654,IF(VLOOKUP(H8,kombinace_4!$A:$E,5,0)=3,'Translate&amp;Prices&amp;Logo'!B642,"")),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Ramka  1</v>
      </c>
      <c r="C5" s="687"/>
      <c r="D5" s="687"/>
      <c r="E5" s="163"/>
      <c r="F5" s="687" t="str">
        <f>'Translate&amp;Prices&amp;Logo'!$B$169&amp;" "&amp;" "&amp;2</f>
        <v>Ramka  2</v>
      </c>
      <c r="G5" s="687"/>
      <c r="H5" s="687"/>
      <c r="I5" s="15"/>
      <c r="J5" s="687" t="str">
        <f>'Translate&amp;Prices&amp;Logo'!$B$169&amp;" "&amp;" "&amp;3</f>
        <v>Ramka  3</v>
      </c>
      <c r="K5" s="687"/>
      <c r="L5" s="687"/>
      <c r="M5" s="15"/>
      <c r="N5" s="687" t="str">
        <f>'Translate&amp;Prices&amp;Logo'!$B$169&amp;" "&amp;" "&amp;4</f>
        <v>Ramka  4</v>
      </c>
      <c r="O5" s="687"/>
      <c r="P5" s="687"/>
      <c r="Q5" s="15"/>
      <c r="R5" s="687" t="str">
        <f>'Translate&amp;Prices&amp;Logo'!$B$169&amp;" "&amp;" "&amp;5</f>
        <v>Ramka  5</v>
      </c>
      <c r="S5" s="687"/>
      <c r="T5" s="687"/>
      <c r="U5" s="15"/>
      <c r="V5" s="687" t="str">
        <f>'Translate&amp;Prices&amp;Logo'!$B$169&amp;" "&amp;" "&amp;6</f>
        <v>Ramka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Połączenie 2 profili</v>
      </c>
      <c r="C7" s="720"/>
      <c r="D7" s="720"/>
      <c r="E7" s="720"/>
      <c r="F7" s="720"/>
      <c r="G7" s="669" t="str">
        <f>IF(kombinace_4!FC2=TRUE,AB4,"")</f>
        <v/>
      </c>
      <c r="H7" s="669"/>
      <c r="I7" s="669"/>
      <c r="J7" s="669"/>
      <c r="K7" s="669"/>
      <c r="L7" s="669"/>
      <c r="M7" s="669"/>
      <c r="N7" s="669"/>
      <c r="O7" s="669"/>
      <c r="P7" s="669"/>
      <c r="Q7" s="670"/>
      <c r="R7" s="289"/>
      <c r="S7" s="655" t="str">
        <f>'Translate&amp;Prices&amp;Logo'!$B$572</f>
        <v>Ważne informacje:</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VLOOKUP(H8,kombinace_4!$A:$B,2,0)</f>
        <v>2</v>
      </c>
      <c r="AV7" s="198" t="str">
        <f>IF(AU7=2,"Široký",IF(AU7=1,"Úzký",IF(AU7=3,"kombo")))</f>
        <v>Široký</v>
      </c>
    </row>
    <row r="8" spans="1:65" ht="45.6" customHeight="1">
      <c r="A8" s="118"/>
      <c r="B8" s="281" t="str">
        <f>'Translate&amp;Prices&amp;Logo'!$B$653</f>
        <v>Wypełnienie z siatki</v>
      </c>
      <c r="C8" s="282"/>
      <c r="D8" s="282"/>
      <c r="E8" s="283" t="str">
        <f>'Translate&amp;Prices&amp;Logo'!$B$172</f>
        <v>Rodzaj profilu</v>
      </c>
      <c r="F8" s="283"/>
      <c r="G8" s="288"/>
      <c r="H8" s="721"/>
      <c r="I8" s="721"/>
      <c r="J8" s="721"/>
      <c r="K8" s="721"/>
      <c r="L8" s="721"/>
      <c r="M8" s="721"/>
      <c r="N8" s="721"/>
      <c r="O8" s="721"/>
      <c r="P8" s="721"/>
      <c r="Q8" s="722"/>
      <c r="R8" s="290"/>
      <c r="S8" s="706">
        <f>IF(AU10&gt;0,'Translate&amp;Prices&amp;Logo'!B303,IF(H8=kombinace_4!A54,'Translate&amp;Prices&amp;Logo'!B580,0))</f>
        <v>0</v>
      </c>
      <c r="T8" s="707"/>
      <c r="U8" s="707"/>
      <c r="V8" s="707"/>
      <c r="W8" s="707"/>
      <c r="X8" s="707"/>
      <c r="Y8" s="708"/>
      <c r="Z8" s="137"/>
      <c r="AA8" s="133"/>
      <c r="AB8" s="15"/>
      <c r="AC8" s="637" t="str">
        <f>'Translate&amp;Prices&amp;Logo'!$B$242</f>
        <v>Odległość od krawędzi</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IFERROR(IF(AND(VLOOKUP(H8,kombinace_4!$A:$D,4,0)=1,kombinace_4!FC2=FALSE),'Translate&amp;Prices&amp;Logo'!$B$543,0),0)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Rozstaw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IFERROR((VLOOKUP(H12,kombinace_4!$DP$2:$DQ$3,2,0)),"")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Odległość od górnej krawędzi</v>
      </c>
      <c r="AF10" s="15"/>
      <c r="AG10" s="15"/>
      <c r="AH10" s="15"/>
      <c r="AI10" s="117"/>
      <c r="AJ10" s="118"/>
      <c r="AK10" s="15"/>
      <c r="AL10" s="15"/>
      <c r="AM10" s="15"/>
      <c r="AN10" s="15"/>
      <c r="AO10" s="15"/>
      <c r="AP10" s="134"/>
      <c r="AQ10" s="373"/>
      <c r="AR10" s="15"/>
      <c r="AS10" s="15"/>
      <c r="AT10" s="197" t="s">
        <v>1306</v>
      </c>
      <c r="AU10" s="198">
        <f>IFERROR(VLOOKUP(H9,kombinace_4!$BY$13:$BZ$15,2,0),0)</f>
        <v>0</v>
      </c>
      <c r="AV10" s="198"/>
    </row>
    <row r="11" spans="1:65" ht="18" customHeight="1">
      <c r="A11" s="118"/>
      <c r="B11" s="695" t="str">
        <f>('Translate&amp;Prices&amp;Logo'!$B$543)&amp;" "&amp;"("&amp;'Translate&amp;Prices&amp;Logo'!$B$174&amp;")"</f>
        <v>Szprosy (Ilość sztuk)</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IFERROR(IF(kombinace_4!$H$1=TRUE,BA2+AY3,0),0)</f>
        <v>0</v>
      </c>
      <c r="AU11" s="204"/>
      <c r="AV11" s="198"/>
    </row>
    <row r="12" spans="1:65" ht="18" customHeight="1">
      <c r="A12" s="118"/>
      <c r="B12" s="638" t="str">
        <f>'Translate&amp;Prices&amp;Logo'!$B$258</f>
        <v>Typ okucia</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Marka okucia</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Rozstaw  mm</v>
      </c>
      <c r="AE14" s="645"/>
      <c r="AF14" s="15"/>
      <c r="AG14" s="15"/>
      <c r="AH14" s="15"/>
      <c r="AI14" s="117"/>
      <c r="AJ14" s="118"/>
      <c r="AK14" s="15"/>
      <c r="AL14" s="15"/>
      <c r="AM14" s="682" t="str">
        <f>('Translate&amp;Prices&amp;Logo'!$B$548)&amp;" "&amp;H26&amp;" "&amp;"mm"</f>
        <v>Rozstaw  mm</v>
      </c>
      <c r="AN14" s="15"/>
      <c r="AO14" s="138"/>
      <c r="AP14" s="131"/>
      <c r="AQ14" s="373"/>
      <c r="AR14" s="729"/>
      <c r="AS14" s="15"/>
      <c r="AT14" s="204"/>
      <c r="AU14" s="198"/>
      <c r="AV14" s="198"/>
      <c r="AW14" s="223" t="s">
        <v>2322</v>
      </c>
    </row>
    <row r="15" spans="1:65" ht="18" customHeight="1" thickBot="1">
      <c r="A15" s="118"/>
      <c r="B15" s="638" t="str">
        <f>'Translate&amp;Prices&amp;Logo'!$B$545</f>
        <v>Wariant okucia</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IF(H15=kombinace_4!AB40,'Translate&amp;Prices&amp;Logo'!$B$224,IF(H15=kombinace_4!AB41,'Translate&amp;Prices&amp;Logo'!$B$224,IF(H12='závěsy dle výklopu'!BQ2,'Translate&amp;Prices&amp;Logo'!$B$222,'Translate&amp;Prices&amp;Logo'!$B$218)))</f>
        <v>Wybierz pozycję ramki</v>
      </c>
      <c r="C16" s="694"/>
      <c r="D16" s="694"/>
      <c r="E16" s="694"/>
      <c r="F16" s="692"/>
      <c r="G16" s="692"/>
      <c r="H16" s="692"/>
      <c r="I16" s="692"/>
      <c r="J16" s="712" t="str">
        <f>IF(OR(H15=kombinace_4!AB40,H15=kombinace_4!AB7,H15=kombinace_4!AB15,H15=kombinace_4!AB20,H15=kombinace_4!AB21,H15=kombinace_4!AB22),'Translate&amp;Prices&amp;Logo'!$B$226,IF(H15=kombinace_4!AB41,'Translate&amp;Prices&amp;Logo'!$B$226,'Translate&amp;Prices&amp;Logo'!$B$232))</f>
        <v>Rodzaj drugiej ramki</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IF(H12='Translate&amp;Prices&amp;Logo'!B551,'Translate&amp;Prices&amp;Logo'!B238,IF(H15=kombinace_4!AB8,'Translate&amp;Prices&amp;Logo'!B284,0))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IF(H13="Salice",VLOOKUP(H17,kombinace_4!$BY:$BZ,2,0),0)</f>
        <v>0</v>
      </c>
    </row>
    <row r="18" spans="1:52" ht="18" customHeight="1">
      <c r="A18" s="118"/>
      <c r="B18" s="638">
        <f>IFERROR(IF(VLOOKUP(H15,kombinace_4!CD:CE,2,0)=1,'Translate&amp;Prices&amp;Logo'!$B$547,0),0)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IFERROR(IF(H12='Translate&amp;Prices&amp;Logo'!B551,'Translate&amp;Prices&amp;Logo'!$B$223,IF(VLOOKUP(H15,kombinace_4!CD:CE,2,0)=1,'Translate&amp;Prices&amp;Logo'!$B$223,)),0)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Odległość od dolnej krawędzi</v>
      </c>
      <c r="AM19" s="682"/>
      <c r="AN19" s="673">
        <v>0</v>
      </c>
      <c r="AO19" s="673"/>
      <c r="AP19" s="133"/>
      <c r="AQ19" s="373"/>
      <c r="AR19" s="728" t="str">
        <f>'Translate&amp;Prices&amp;Logo'!$B$176</f>
        <v>Wysokość</v>
      </c>
      <c r="AS19" s="15"/>
      <c r="AT19" s="204"/>
      <c r="AU19" s="196">
        <f>IFERROR(IF(H12='závěsy dle výklopu'!BR2,VLOOKUP(H15,kombinace_4!$CD$3:$CF$18,3,0),IF(H12='závěsy dle výklopu'!BQ2,1,0)),0)</f>
        <v>0</v>
      </c>
      <c r="AV19" s="198">
        <f>IFERROR(VLOOKUP(H15,kombinace_4!$CD:$CF,3,0),0)</f>
        <v>0</v>
      </c>
    </row>
    <row r="20" spans="1:52" ht="18" customHeight="1">
      <c r="A20" s="118"/>
      <c r="B20" s="697">
        <f>IF(H13&lt;&gt;"Salice",(IFERROR('Translate&amp;Prices&amp;Logo'!$B$242&amp;" "&amp;(VLOOKUP(H17,kombinace_4!$BY$32:$CA$35,2,0)),0)),0)</f>
        <v>0</v>
      </c>
      <c r="C20" s="636"/>
      <c r="D20" s="636"/>
      <c r="E20" s="636"/>
      <c r="F20" s="691">
        <v>100</v>
      </c>
      <c r="G20" s="691"/>
      <c r="H20" s="691"/>
      <c r="I20" s="691"/>
      <c r="J20" s="636">
        <f>IFERROR('Translate&amp;Prices&amp;Logo'!$B$242&amp;" "&amp;(VLOOKUP(H17,kombinace_4!$BY$32:$CA$35,3,0)),0)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IF(kombinace_4!FC2=FALSE,'Translate&amp;Prices&amp;Logo'!$B$173," ")</f>
        <v>Rodzaj szkła</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Nie zmieniaj po wybraniu rodzaj szkła/siatka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VLOOKUP(H17,kombinace_4!$BY$3:$BZ$6,2,0)</f>
        <v>#N/A</v>
      </c>
      <c r="AV23" s="198"/>
    </row>
    <row r="24" spans="1:52" ht="18" customHeight="1">
      <c r="A24" s="118"/>
      <c r="B24" s="667" t="str">
        <f>'Translate&amp;Prices&amp;Logo'!$B$562</f>
        <v>Rodzaj folii</v>
      </c>
      <c r="C24" s="668"/>
      <c r="D24" s="668"/>
      <c r="E24" s="668"/>
      <c r="F24" s="668"/>
      <c r="G24" s="155"/>
      <c r="H24" s="684"/>
      <c r="I24" s="684"/>
      <c r="J24" s="684"/>
      <c r="K24" s="684"/>
      <c r="L24" s="684"/>
      <c r="M24" s="684"/>
      <c r="N24" s="684"/>
      <c r="O24" s="684"/>
      <c r="P24" s="684"/>
      <c r="Q24" s="685"/>
      <c r="R24" s="118"/>
      <c r="S24" s="655" t="str">
        <f>'Translate&amp;Prices&amp;Logo'!$B$177</f>
        <v>Uwagi (notatki)</v>
      </c>
      <c r="T24" s="655"/>
      <c r="U24" s="655"/>
      <c r="Z24" s="137"/>
      <c r="AA24" s="135"/>
      <c r="AB24" s="136"/>
      <c r="AC24" s="637" t="str">
        <f>'Translate&amp;Prices&amp;Logo'!$B$242</f>
        <v>Odległość od krawędzi</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Rodzaj szkła/siatka</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Rozstaw  mm</v>
      </c>
      <c r="AG25" s="683"/>
      <c r="AH25" s="683"/>
      <c r="AI25" s="683"/>
      <c r="AJ25" s="683"/>
      <c r="AK25" s="683"/>
      <c r="AL25" s="680"/>
      <c r="AM25" s="681"/>
      <c r="AN25" s="15"/>
      <c r="AO25" s="137"/>
      <c r="AP25" s="140"/>
      <c r="AQ25" s="373"/>
      <c r="AR25" s="15"/>
      <c r="AS25" s="15"/>
      <c r="AT25" s="204"/>
      <c r="AU25" s="198" t="e">
        <f>VLOOKUP(H27,kombinace_4!$BY:$BZ,2,0)</f>
        <v>#N/A</v>
      </c>
      <c r="AV25" s="198"/>
    </row>
    <row r="26" spans="1:52" ht="18" customHeight="1">
      <c r="A26" s="118"/>
      <c r="B26" s="638" t="str">
        <f>'Translate&amp;Prices&amp;Logo'!$B$549</f>
        <v>Rozstaw uchwytu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Umieszczenie uchwytu</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Ilość sztuk</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VLOOKUP(H14,kombinace_4!$DN$7:$DO$24,2,0)</f>
        <v>#N/A</v>
      </c>
      <c r="AB29" s="679">
        <f>IF(kombinace_4!FC2=TRUE,AB4,IF(H12='závěsy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Cena ramek</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zl</v>
      </c>
      <c r="Q30" s="657"/>
      <c r="R30" s="118"/>
      <c r="S30" s="649"/>
      <c r="T30" s="650"/>
      <c r="U30" s="650"/>
      <c r="V30" s="650"/>
      <c r="W30" s="650"/>
      <c r="X30" s="650"/>
      <c r="Y30" s="651"/>
      <c r="Z30" s="15"/>
      <c r="AA30" s="15"/>
      <c r="AB30" s="118"/>
      <c r="AC30" s="15"/>
      <c r="AD30" s="15"/>
      <c r="AE30" s="15"/>
      <c r="AF30" s="678" t="str">
        <f>'Translate&amp;Prices&amp;Logo'!$B$175</f>
        <v>Szerokość</v>
      </c>
      <c r="AG30" s="678"/>
      <c r="AH30" s="678"/>
      <c r="AI30" s="671"/>
      <c r="AJ30" s="671"/>
      <c r="AK30" s="671"/>
      <c r="AL30" s="15"/>
      <c r="AM30" s="15"/>
      <c r="AN30" s="15"/>
      <c r="AO30" s="15"/>
      <c r="AP30" s="15"/>
      <c r="AQ30" s="15"/>
      <c r="AR30" s="15"/>
      <c r="AS30" s="15"/>
      <c r="AT30" s="204"/>
      <c r="AU30" s="196" t="e">
        <f>HLOOKUP("_Úzký_dolny_K12",kombinace_4!CV2:CW19,3,FALSE)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Podsumowanie</v>
      </c>
      <c r="AP31" s="727"/>
      <c r="AQ31" s="727"/>
      <c r="AR31" s="727"/>
      <c r="AS31" s="15"/>
      <c r="AT31" s="204"/>
      <c r="AU31" s="196" t="str">
        <f>AD44</f>
        <v>_Široký_</v>
      </c>
    </row>
    <row r="32" spans="1:52" ht="17.25" customHeight="1">
      <c r="A32" s="118"/>
      <c r="B32" s="688" t="str">
        <f>'Translate&amp;Prices&amp;Logo'!$B$171</f>
        <v>Podane ceny nie zawierają podatku VAT ani nie zawierają ceny okuć!</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 xml:space="preserve">Ramki aluminiowe bez szkła dostarczane są w stanie rozmontowanym. </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IF(kombinace_4!V1=2,((AR14/1000)*(AI30/1000))*'Translate&amp;Prices&amp;Logo'!C94,0)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IF(kombinace_4!$V$1=3,IFERROR(((VLOOKUP(H24,'Translate&amp;Prices&amp;Logo'!B91:C93,2,0))*(AR14/1000)),0),0)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IF(kombinace_4!FC2=TRUE,_profily_síťka,IF(kombinace_4!H1=TRUE,_kombinovane_profily,_vše_profily))</f>
        <v>BRW (elox.) - maksymalna zalecana długość profilu 2500 mm</v>
      </c>
      <c r="L36" s="215" t="str">
        <f t="array" ref="L36:M36">IF(kombinace_4!H1=TRUE,'závěsy dle výklopu'!$BQ$2:$BR$2,
IF(H8=kombinace_4!A34,'závěsy dle výklopu'!$BQ$2,IF(H8=kombinace_4!A35,'závěsy dle výklopu'!$BQ$2,IF(H8=kombinace_4!A55,'závěsy dle výklopu'!$BQ$2,IF(H8=kombinace_4!A56,'závěsy dle výklopu'!$BQ$2,IF(H8=kombinace_4!A57,'závěsy dle výklopu'!$BQ$2,IF(H8=kombinace_4!A58,'závěsy dle výklopu'!$BQ$2,'závěsy dle výklopu'!$BQ$2:$BR$2)))))))</f>
        <v>Zawiasy</v>
      </c>
      <c r="M36" s="215" t="str">
        <v>Zawiasy</v>
      </c>
      <c r="P36" s="215" t="str" cm="1">
        <f t="array" ref="P36:P38">IF(H13=kombinace_4!BQ11,kombinace_4!$DN$2,kombinace_4!$DN$2:$DN$4)</f>
        <v>Nakładany</v>
      </c>
      <c r="T36" s="215">
        <f t="array" aca="1" ref="T36:T44" ca="1">IF(H13=kombinace_4!BQ11,
  kombinace_4!$FA$2:$FA$9,
  IF(AND(OR(H8=kombinace_4!A34,H8=kombinace_4!A35),H13='závěsy dle výklopu'!BQ4),
    INDIRECT(VLOOKUP(AD42&amp;"_Rocca",kombinace_4!$ER$1:$ES$108,2,0)),
    IF($AU$9=2,
      INDIRECT(VLOOKUP(AD42,kombinace_4!$ER$1:$ES$108,2,0)),
      IF($AU$9=3,
        INDIRECT(VLOOKUP($T$47,kombinace_4!$AA$1:$AB$100,2,0)),
      $Y$48)
    )
  )
)</f>
        <v>0</v>
      </c>
      <c r="AF36" s="215" t="e">
        <f>HLOOKUP($AD$44,'závěsy dle výklopu'!$CG$4:$EZ$10,2,0)</f>
        <v>#N/A</v>
      </c>
      <c r="AJ36" s="215">
        <f t="array" ref="AJ36:AJ40">IF(AM19&lt;2100,kombinace_4!BY8:BY12,kombinace_4!BY8:BY12)</f>
        <v>2</v>
      </c>
      <c r="AW36" s="313"/>
      <c r="AX36" s="313"/>
      <c r="AY36" s="313"/>
    </row>
    <row r="37" spans="1:58" s="215" customFormat="1" ht="15" hidden="1" customHeight="1">
      <c r="A37" s="198"/>
      <c r="B37" s="215" t="str">
        <v>BRW bialy matowy RAL 9003 - maksymalna zalecana długość profilu 2500 mm</v>
      </c>
      <c r="P37" s="215" t="str">
        <v>Półnakładany</v>
      </c>
      <c r="T37" s="215">
        <f ca="1"/>
        <v>0</v>
      </c>
      <c r="W37" s="215" t="str" cm="1">
        <f t="array" ref="W37">IF(Hlavní!$V$39=3,"",'Translate&amp;Prices&amp;Logo'!B556:B557)</f>
        <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bialy połysk RAL 9003 - maksymalna zalecana długość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Wpuszczany</v>
      </c>
      <c r="T38" s="215">
        <f ca="1"/>
        <v>0</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szczotkowany - maksymalna zalecana długość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Czarny matowy - maksymalna zalecana długość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czarna szczotka - maksymalna zalecana długość profilu 2500 mm</v>
      </c>
      <c r="L41" s="215" t="str">
        <v xml:space="preserve">Kesseböhmer </v>
      </c>
      <c r="T41" s="215">
        <f ca="1"/>
        <v>0</v>
      </c>
      <c r="U41" s="215">
        <f>IF(Hlavní!$V$39=3,1,2)</f>
        <v>1</v>
      </c>
      <c r="AE41" s="215">
        <f>AF41</f>
        <v>0</v>
      </c>
      <c r="AH41" s="339"/>
      <c r="AI41" s="340" t="s">
        <v>3692</v>
      </c>
      <c r="AJ41" s="340" t="s">
        <v>3693</v>
      </c>
      <c r="AS41" s="215" t="s">
        <v>1316</v>
      </c>
      <c r="AW41" s="313"/>
      <c r="AX41" s="313"/>
      <c r="AY41" s="313"/>
    </row>
    <row r="42" spans="1:58" s="215" customFormat="1" ht="18.600000000000001" hidden="1" customHeight="1">
      <c r="A42" s="198"/>
      <c r="B42" s="215" t="str">
        <v>BRW acier grata - maksymalna zalecana długość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antracyt RAL 7021 - maksymalna zalecana długość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maksymalna zalecana długość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maksymalna zalecana długość profilu 2500 mm</v>
      </c>
      <c r="M45" s="215" t="s">
        <v>2637</v>
      </c>
      <c r="N45" s="215" t="s">
        <v>1134</v>
      </c>
      <c r="AS45" s="191"/>
      <c r="AW45" s="313"/>
      <c r="AX45" s="313"/>
      <c r="AY45" s="313"/>
    </row>
    <row r="46" spans="1:58" s="215" customFormat="1" ht="14.85" hidden="1" customHeight="1">
      <c r="A46" s="198"/>
      <c r="B46" s="215" t="str">
        <v>BRW brąz - maksymalna zalecana długość profilu 2500 mm</v>
      </c>
      <c r="M46" s="215" t="s">
        <v>4509</v>
      </c>
    </row>
    <row r="47" spans="1:58" s="215" customFormat="1" ht="14.85" hidden="1" customHeight="1">
      <c r="A47" s="198"/>
      <c r="B47" s="215" t="str">
        <v>BRW INOX (stal nierdzewna) - maksymalna zalecana długość profilu 2500 mm</v>
      </c>
      <c r="M47" s="215" t="s">
        <v>4510</v>
      </c>
      <c r="T47" s="215" t="str">
        <f>CONCATENATE(H13,"_",VLOOKUP(kombinace_4!H1,kombinace_4!$J$14:$K$15,2,0))</f>
        <v>_2</v>
      </c>
      <c r="AI47" s="169"/>
      <c r="AJ47" s="335"/>
      <c r="AN47" s="723"/>
      <c r="AO47" s="723"/>
      <c r="AP47" s="723"/>
      <c r="AQ47" s="723"/>
    </row>
    <row r="48" spans="1:58" s="215" customFormat="1" ht="14.85" hidden="1" customHeight="1">
      <c r="A48" s="198"/>
      <c r="B48" s="215" t="str">
        <v>BRW złota- maksymalna zalecana długość profilu 2500 mm</v>
      </c>
      <c r="T48" s="215" t="e">
        <f>VLOOKUP(AD42,kombinace_4!ER:ES,2,0)</f>
        <v>#N/A</v>
      </c>
      <c r="AS48"/>
      <c r="AT48"/>
    </row>
    <row r="49" spans="1:46" s="215" customFormat="1" ht="14.85" hidden="1" customHeight="1">
      <c r="A49" s="198"/>
      <c r="B49" s="215" t="str">
        <v>BRW złota szczotkowany - maksymalna zalecana zalecana długość profilu 2500 mm</v>
      </c>
      <c r="AS49"/>
      <c r="AT49"/>
    </row>
    <row r="50" spans="1:46" s="215" customFormat="1" ht="14.85" hidden="1" customHeight="1">
      <c r="A50" s="198"/>
      <c r="B50" s="215" t="str">
        <v>Corleone (elox.)- maksymalna zalecana długość profilu 1500 mm</v>
      </c>
      <c r="AS50"/>
      <c r="AT50"/>
    </row>
    <row r="51" spans="1:46" s="215" customFormat="1" ht="14.85" hidden="1" customHeight="1">
      <c r="A51" s="198"/>
      <c r="B51" s="215" t="str">
        <v>Corleone czarny matowy - maksymalna zalecana długość profilu 1500 mm</v>
      </c>
      <c r="AS51"/>
      <c r="AT51"/>
    </row>
    <row r="52" spans="1:46" s="215" customFormat="1" ht="14.85" hidden="1" customHeight="1">
      <c r="A52" s="198"/>
      <c r="B52" s="215" t="str">
        <v>ASTI  czarne  - maksymalna zalecana długość profilu 2150</v>
      </c>
      <c r="AS52"/>
      <c r="AT52"/>
    </row>
    <row r="53" spans="1:46" s="215" customFormat="1" ht="14.85" hidden="1" customHeight="1">
      <c r="A53" s="198"/>
      <c r="B53" s="215" t="str">
        <v>ASTI  antracyt mat RAL 7021 mat lakier - maksymalna zalecana długość profilu 2500 mm</v>
      </c>
      <c r="AS53"/>
      <c r="AT53"/>
    </row>
    <row r="54" spans="1:46" s="215" customFormat="1" ht="14.85" hidden="1" customHeight="1">
      <c r="A54" s="198"/>
      <c r="B54" s="215" t="str">
        <v>Imola (elox.) - maksymalna zalecana długość profilu 2500 mm</v>
      </c>
      <c r="K54" s="215" t="str">
        <f t="array" ref="K54:K58">IF(OR($H$15=kombinace_4!AB40,$H$15=kombinace_4!AB7,$H$15=kombinace_4!AB15,$H$15=kombinace_4!AB20,$H$15=kombinace_4!AB21,$H$15=kombinace_4!AB22),'Translate&amp;Prices&amp;Logo'!$B$229:$B$231,IF($H$15=kombinace_4!AB41,'Translate&amp;Prices&amp;Logo'!$B$229:$B$231,'Translate&amp;Prices&amp;Logo'!$B$233:$B$237))</f>
        <v>Wąska ALU ramka</v>
      </c>
      <c r="T54" s="215" t="str">
        <f t="array" ref="T54:T56">kombinace_4!$EN$3:$EN$5</f>
        <v>Bez modyfikacji</v>
      </c>
      <c r="U54" s="215">
        <v>1</v>
      </c>
      <c r="X54" s="215" t="str">
        <f t="array" ref="X54:X56">kombinace_4!$X$3:$X$5</f>
        <v>transparentna</v>
      </c>
      <c r="AD54" s="215" t="str">
        <f t="array" aca="1" ref="AD54:AD97" ca="1">IF(kombinace_4!FC2=FALSE,
IF(OR(H8=kombinace_4!A17,H8=kombinace_4!A18,H8=kombinace_4!A25,H8=kombinace_4!A26,H8=kombinace_4!A27,H8=kombinace_4!A28),_corleone,INDIRECT(kombinace_4!S1)),
IF(kombinace_4!FC2=TRUE,INDIRECT(VLOOKUP(Ram_1!H8,'závěsy dle výklopu'!A81:B90,2,0)),0))</f>
        <v>Czyste</v>
      </c>
      <c r="AS54"/>
      <c r="AT54"/>
    </row>
    <row r="55" spans="1:46" s="215" customFormat="1" ht="14.85" hidden="1" customHeight="1">
      <c r="A55" s="198"/>
      <c r="B55" s="215" t="str">
        <v>Imola Czarny matowy - maksymalna zalecana długość profilu 2500 mm</v>
      </c>
      <c r="K55" s="215" t="str">
        <v>Szeroka ALU ramka</v>
      </c>
      <c r="T55" s="215" t="str">
        <v>Hartowane (termin dostawy 4 tygodnie)</v>
      </c>
      <c r="U55" s="215">
        <v>2</v>
      </c>
      <c r="X55" s="215" t="str">
        <v>Biała</v>
      </c>
      <c r="AD55" s="215" t="str">
        <f ca="1"/>
        <v xml:space="preserve">Satinato </v>
      </c>
      <c r="AS55"/>
      <c r="AT55"/>
    </row>
    <row r="56" spans="1:46" s="215" customFormat="1" ht="14.85" hidden="1" customHeight="1">
      <c r="A56" s="198"/>
      <c r="B56" s="215" t="str">
        <v>Imola bialy matowy RAL 9003 - maksymalna zalecana długość profilu 2500 mm</v>
      </c>
      <c r="K56" s="215" t="str">
        <v>MDF grubość 16mm</v>
      </c>
      <c r="T56" s="215" t="str">
        <v>Folia</v>
      </c>
      <c r="U56" s="215">
        <v>3</v>
      </c>
      <c r="X56" s="215" t="str">
        <v>czarna</v>
      </c>
      <c r="AD56" s="215" t="str">
        <f ca="1"/>
        <v xml:space="preserve">Satinato brązowe/Decormat Braz </v>
      </c>
    </row>
    <row r="57" spans="1:46" s="215" customFormat="1" ht="14.85" hidden="1" customHeight="1">
      <c r="A57" s="198"/>
      <c r="B57" s="215" t="str">
        <v>Imola złota - maksymalna zalecana zalecana długość profilu 2150 mm</v>
      </c>
      <c r="K57" s="215" t="str">
        <v>MDF grubość 18mm</v>
      </c>
      <c r="AD57" s="215" t="str">
        <f ca="1"/>
        <v xml:space="preserve">Satinato grafit  Decormat grafit </v>
      </c>
    </row>
    <row r="58" spans="1:46" s="215" customFormat="1" ht="14.85" hidden="1" customHeight="1">
      <c r="A58" s="198"/>
      <c r="B58" s="215" t="str">
        <v>Modena (elox.) - maksymalna zalecana długość profilu 2500 mm</v>
      </c>
      <c r="K58" s="215" t="str">
        <v>Płyta melaminowana grubość 18mm</v>
      </c>
      <c r="AD58" s="215" t="str">
        <f ca="1"/>
        <v xml:space="preserve">MASTER SOFT </v>
      </c>
    </row>
    <row r="59" spans="1:46" s="215" customFormat="1" ht="14.85" hidden="1" customHeight="1">
      <c r="A59" s="198"/>
      <c r="B59" s="215" t="str">
        <v>Modena Czarny matowy - maksymalna zalecana długość profilu 2500 mm</v>
      </c>
      <c r="T59" s="215">
        <f>IFERROR(VLOOKUP($H$21,$T$54:$U$56,2,0),0)</f>
        <v>0</v>
      </c>
      <c r="AD59" s="215" t="str">
        <f ca="1"/>
        <v xml:space="preserve">MASTER FLEX </v>
      </c>
    </row>
    <row r="60" spans="1:46" s="215" customFormat="1" ht="14.85" hidden="1" customHeight="1">
      <c r="A60" s="198"/>
      <c r="B60" s="215" t="str">
        <v>Modena czarna szczotka - maksymalna zalecana długość profilu 2500 mm</v>
      </c>
      <c r="K60" s="215" t="b">
        <f>K56=K61</f>
        <v>0</v>
      </c>
      <c r="AD60" s="215" t="str">
        <f ca="1"/>
        <v xml:space="preserve">Master (Carre) </v>
      </c>
    </row>
    <row r="61" spans="1:46" s="215" customFormat="1" ht="14.85" hidden="1" customHeight="1">
      <c r="A61" s="198"/>
      <c r="B61" s="215" t="str">
        <v>Modena INOX (stal nierdzewna) - maksymalna zalecana długość profilu 2500 mm</v>
      </c>
      <c r="H61" s="215" t="str">
        <f>'Translate&amp;Prices&amp;Logo'!$B$186</f>
        <v>Dolne drzwi</v>
      </c>
      <c r="K61" s="215" t="str">
        <f>'Translate&amp;Prices&amp;Logo'!$B$231</f>
        <v>2 sztuki (obydwie strony)</v>
      </c>
      <c r="AD61" s="215" t="str">
        <f ca="1"/>
        <v xml:space="preserve">Master  Ligne poziomo </v>
      </c>
    </row>
    <row r="62" spans="1:46" s="215" customFormat="1" ht="14.85" hidden="1" customHeight="1">
      <c r="A62" s="198"/>
      <c r="B62" s="215" t="str">
        <v>Pisa (elox.) - maksymalna zalecana długość profilu 2500 mm</v>
      </c>
      <c r="AD62" s="215" t="str">
        <f ca="1"/>
        <v xml:space="preserve">Master  Ligne pionowo </v>
      </c>
    </row>
    <row r="63" spans="1:46" s="215" customFormat="1" ht="14.85" hidden="1" customHeight="1">
      <c r="A63" s="198"/>
      <c r="B63" s="215" t="str">
        <v>Pisa biały matowy RAL 9003 - maksymalna zalecana zalecana długość profilu 2500 mm</v>
      </c>
      <c r="AD63" s="215" t="str">
        <f ca="1"/>
        <v xml:space="preserve">Master  Point </v>
      </c>
    </row>
    <row r="64" spans="1:46" s="215" customFormat="1" ht="14.85" hidden="1" customHeight="1">
      <c r="A64" s="198"/>
      <c r="B64" s="215" t="str">
        <v>Pisa biały połysk RAL 9003 - maksymalna zalecana zalecana długość profilu 2500 mm</v>
      </c>
      <c r="AD64" s="215" t="str">
        <f ca="1"/>
        <v>Masterscreen - maksymalne wymiary 2160 x 1650 mm</v>
      </c>
    </row>
    <row r="65" spans="1:30" s="215" customFormat="1" ht="14.85" hidden="1" customHeight="1">
      <c r="A65" s="198"/>
      <c r="B65" s="215" t="str">
        <v>Pisa Czarny matowy - maksymalna zalecana długość profilu 2500 mm</v>
      </c>
      <c r="H65" s="74" t="str">
        <f>'rozpad závěsů bez prázdn. řádků'!$K$1</f>
        <v>krzyżakowy, wkręt</v>
      </c>
      <c r="I65" s="217">
        <v>6</v>
      </c>
      <c r="J65" s="73" t="e">
        <f>VLOOKUP($H$15,'rozpad závěsů bez prázdn. řádků'!$G$2:$X$66,I65,0)</f>
        <v>#N/A</v>
      </c>
      <c r="O65" s="215" t="str" cm="1">
        <f t="array" ref="O65:O66">IF($H$15=kombinace_4!$AB$40,_strong_vzpera_horni,IF($H$15=kombinace_4!$AB$41,_stronglift_klopna,IF($H$12='závěsy dle výklopu'!$BQ$2,$J$65:$J$71,'Translate&amp;Prices&amp;Logo'!$B$185:$B$186)))</f>
        <v>Górne drzwi</v>
      </c>
      <c r="AD65" s="215" t="str">
        <f ca="1"/>
        <v xml:space="preserve">Venus VG10 </v>
      </c>
    </row>
    <row r="66" spans="1:30" s="215" customFormat="1" ht="14.85" hidden="1" customHeight="1">
      <c r="A66" s="198"/>
      <c r="B66" s="215" t="str">
        <v>Pisa złota - maksymalna zalecana długość profilu 2150 mm</v>
      </c>
      <c r="H66" s="74" t="str">
        <f>'rozpad závěsů bez prázdn. řádků'!$M$1</f>
        <v>na wkręt (z mimośrodem)</v>
      </c>
      <c r="I66" s="217">
        <v>8</v>
      </c>
      <c r="J66" s="73" t="e">
        <f>VLOOKUP($H$15,'rozpad závěsů bez prázdn. řádků'!$G$2:$X$66,I66,0)</f>
        <v>#N/A</v>
      </c>
      <c r="O66" s="215" t="str">
        <v>Dolne drzwi</v>
      </c>
      <c r="AD66" s="215" t="str">
        <f ca="1"/>
        <v>Stopsol brąz - maksymalne wymiary 2250 x 1605 mm</v>
      </c>
    </row>
    <row r="67" spans="1:30" s="215" customFormat="1" ht="14.85" hidden="1" customHeight="1">
      <c r="A67" s="198"/>
      <c r="B67" s="215" t="str">
        <v>Rocca (elox.) - maksymalna zalecana zalecana długość profilu 2150 mm</v>
      </c>
      <c r="H67" s="74" t="str">
        <f>'rozpad závěsů bez prázdn. řádků'!$O$1</f>
        <v>krzyżakowy eurowkręt</v>
      </c>
      <c r="I67" s="217">
        <v>10</v>
      </c>
      <c r="J67" s="73" t="e">
        <f>VLOOKUP($H$15,'rozpad závěsů bez prázdn. řádků'!$G$2:$X$66,I67,0)</f>
        <v>#N/A</v>
      </c>
      <c r="AD67" s="215" t="str">
        <f ca="1"/>
        <v xml:space="preserve">Antisol brąz </v>
      </c>
    </row>
    <row r="68" spans="1:30" s="215" customFormat="1" ht="14.85" hidden="1" customHeight="1">
      <c r="A68" s="198"/>
      <c r="B68" s="215" t="str">
        <v>Rocca czarny matowy - maksymalna zalecana zalecana długość profilu 2150 mm</v>
      </c>
      <c r="H68" s="74" t="str">
        <f>'rozpad závěsů bez prázdn. řádků'!$Q$1</f>
        <v>krzyżakowy expando</v>
      </c>
      <c r="I68" s="217">
        <v>12</v>
      </c>
      <c r="J68" s="73" t="e">
        <f>VLOOKUP($H$15,'rozpad závěsů bez prázdn. řádků'!$G$2:$X$66,I68,0)</f>
        <v>#N/A</v>
      </c>
      <c r="AD68" s="215" t="str">
        <f ca="1"/>
        <v xml:space="preserve">Antisol grafit </v>
      </c>
    </row>
    <row r="69" spans="1:30" s="215" customFormat="1" ht="14.85" hidden="1" customHeight="1">
      <c r="A69" s="198"/>
      <c r="B69" s="215" t="str">
        <v>Verona (elox.) - maksymalna zalecana zalecana długość profilu 2500 mm</v>
      </c>
      <c r="H69" s="74" t="str">
        <f>'rozpad závěsů bez prázdn. řádků'!$S$1</f>
        <v>prosty wkręt</v>
      </c>
      <c r="I69" s="217">
        <v>14</v>
      </c>
      <c r="J69" s="73" t="e">
        <f>VLOOKUP($H$15,'rozpad závěsů bez prázdn. řádků'!$G$2:$X$66,I69,0)</f>
        <v>#N/A</v>
      </c>
      <c r="AD69" s="215" t="str">
        <f ca="1"/>
        <v xml:space="preserve">Lustro </v>
      </c>
    </row>
    <row r="70" spans="1:30" s="215" customFormat="1" ht="14.85" hidden="1" customHeight="1">
      <c r="A70" s="198"/>
      <c r="B70" s="215" t="str">
        <v>Verona szczotkowany - maksymalna zalecana zalecana długość profilu 2500 mm</v>
      </c>
      <c r="H70" s="74" t="str">
        <f>'rozpad závěsů bez prázdn. řádků'!$U$1</f>
        <v>prosty eurowkręt</v>
      </c>
      <c r="I70" s="217">
        <v>16</v>
      </c>
      <c r="J70" s="73" t="e">
        <f>VLOOKUP($H$15,'rozpad závěsů bez prázdn. řádků'!$G$2:$X$66,I70,0)</f>
        <v>#N/A</v>
      </c>
      <c r="AD70" s="215" t="str">
        <f ca="1"/>
        <v xml:space="preserve">Lustro brązowe </v>
      </c>
    </row>
    <row r="71" spans="1:30" s="215" customFormat="1" ht="14.85" hidden="1" customHeight="1">
      <c r="A71" s="198"/>
      <c r="B71" s="215" t="str">
        <v>Verona czarny matowy - maksymalna zalecana zalecana długość profilu 2500 mm</v>
      </c>
      <c r="H71" s="74" t="str">
        <f>'rozpad závěsů bez prázdn. řádků'!$W$1</f>
        <v>prosty expando</v>
      </c>
      <c r="I71" s="217">
        <v>18</v>
      </c>
      <c r="J71" s="73" t="e">
        <f>VLOOKUP($H$15,'rozpad závěsů bez prázdn. řádků'!$G$2:$X$66,I71,0)</f>
        <v>#N/A</v>
      </c>
      <c r="AD71" s="215" t="str">
        <f ca="1"/>
        <v xml:space="preserve">Lustro grafit </v>
      </c>
    </row>
    <row r="72" spans="1:30" s="215" customFormat="1" ht="14.85" hidden="1" customHeight="1">
      <c r="A72" s="198"/>
      <c r="B72" s="215" t="str">
        <v>Verona czarny połysk - maksymalna zalecana zalecana długość profilu 2500 mm</v>
      </c>
      <c r="AD72" s="215" t="str">
        <f ca="1"/>
        <v xml:space="preserve">VISIOSUN poziomo </v>
      </c>
    </row>
    <row r="73" spans="1:30" s="215" customFormat="1" ht="14.85" hidden="1" customHeight="1">
      <c r="A73" s="198"/>
      <c r="B73" s="215" t="str">
        <v>Verona braz - maksymalna zalecana zalecana długość profilu 2500 mm</v>
      </c>
      <c r="AD73" s="215" t="str">
        <f ca="1"/>
        <v xml:space="preserve">VISIOSUN pionowo </v>
      </c>
    </row>
    <row r="74" spans="1:30" s="215" customFormat="1" ht="14.85" hidden="1" customHeight="1">
      <c r="A74" s="198"/>
      <c r="B74" s="215" t="str">
        <v>Verona szampański - maksymalna zalecana zalecana długość profilu 2500 mm</v>
      </c>
      <c r="AD74" s="215" t="str">
        <f ca="1"/>
        <v xml:space="preserve">VISIOSUN satyna poziomo </v>
      </c>
    </row>
    <row r="75" spans="1:30" s="215" customFormat="1" ht="14.85" hidden="1" customHeight="1">
      <c r="A75" s="198"/>
      <c r="B75" s="215" t="str">
        <v>Verona Inox szczotkowany - maksymalna zalecana zalecana długość profilu 2500 mm</v>
      </c>
      <c r="AD75" s="215" t="str">
        <f ca="1"/>
        <v xml:space="preserve">VISIOSUN satyna pionowo </v>
      </c>
    </row>
    <row r="76" spans="1:30" s="215" customFormat="1" ht="14.85" hidden="1" customHeight="1">
      <c r="A76" s="198"/>
      <c r="B76" s="215" t="str">
        <v>Verona Inox Acier szczotkowany - maksymalna zalecana zalecana długość profilu 2500 mm</v>
      </c>
      <c r="AD76" s="215" t="str">
        <f ca="1"/>
        <v>Krizet - maksymalne wymiary 2130 x 1650 mm</v>
      </c>
    </row>
    <row r="77" spans="1:30" s="215" customFormat="1" ht="14.85" hidden="1" customHeight="1">
      <c r="A77" s="198"/>
      <c r="B77" s="215" t="str">
        <v>Verona złota - maksymalna zalecana długość profilu 2150 mm</v>
      </c>
      <c r="AD77" s="215" t="str">
        <f ca="1"/>
        <v xml:space="preserve">FLUTES pionowo </v>
      </c>
    </row>
    <row r="78" spans="1:30" s="215" customFormat="1" ht="14.85" hidden="1" customHeight="1">
      <c r="A78" s="198"/>
      <c r="B78" s="215" t="str">
        <v>Verona złota szczotkowany - maksymalna zalecana zalecana długość profilu 2150 mm</v>
      </c>
      <c r="AD78" s="215" t="str">
        <f ca="1"/>
        <v xml:space="preserve">FLUTES poziomo </v>
      </c>
    </row>
    <row r="79" spans="1:30" s="215" customFormat="1" ht="14.85" hidden="1" customHeight="1">
      <c r="A79" s="198"/>
      <c r="B79" s="215" t="str">
        <v>Vivaro (elox.) - maksymalna zalecana zalecana długość profilu 2500 mm</v>
      </c>
      <c r="AD79" s="215" t="str">
        <f ca="1"/>
        <v xml:space="preserve">Lakomat </v>
      </c>
    </row>
    <row r="80" spans="1:30" s="215" customFormat="1" ht="14.85" hidden="1" customHeight="1">
      <c r="A80" s="198"/>
      <c r="B80" s="215" t="str">
        <v>Vivaro czarny matowy - maksymalna zalecana zalecana długość profilu 2500 mm</v>
      </c>
      <c r="AD80" s="215" t="str">
        <f ca="1"/>
        <v xml:space="preserve">Lacobel RAL 1013 </v>
      </c>
    </row>
    <row r="81" spans="1:38" s="215" customFormat="1" ht="14.85" hidden="1" customHeight="1">
      <c r="A81" s="198"/>
      <c r="B81" s="215" t="str">
        <v>Vivaro INOX (stal nierdzewna) - maksymalna zalecana zalecana długość profilu 2500 mm</v>
      </c>
      <c r="AD81" s="215" t="str">
        <f ca="1"/>
        <v xml:space="preserve">Lacobel RAL 1015 </v>
      </c>
    </row>
    <row r="82" spans="1:38" s="215" customFormat="1" ht="14.85" hidden="1" customHeight="1">
      <c r="A82" s="198"/>
      <c r="B82" s="215" t="str">
        <v>Vivaro biały matowy RAL 9003 - maksymalna zalecana zalecana długość profilu 2500 mm</v>
      </c>
      <c r="P82" s="215" t="str">
        <f>IF(OR(H8=kombinace_1!F18,H8=kombinace_1!F19,H8=kombinace_1!A55,H8=kombinace_1!A56,H8=kombinace_1!A57,H8=kombinace_1!A58),"_2_strany",IF(H15=kombinace_1!AB8,"_ramena_HL","_4_strany"))</f>
        <v>_4_strany</v>
      </c>
      <c r="AD82" s="215" t="str">
        <f ca="1"/>
        <v xml:space="preserve">Lacobel RAL 7035 </v>
      </c>
    </row>
    <row r="83" spans="1:38" ht="14.85" hidden="1" customHeight="1">
      <c r="B83" s="196" t="str">
        <v>Vivaro biały połysk RAL 9003 - maksymalna zalecana zalecana długość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 xml:space="preserve">Lacobel RAL 9003 </v>
      </c>
      <c r="AE83" s="206"/>
      <c r="AF83" s="206"/>
      <c r="AG83" s="206"/>
      <c r="AH83" s="206"/>
      <c r="AI83" s="208"/>
      <c r="AJ83" s="208"/>
      <c r="AK83" s="208"/>
      <c r="AL83" s="208"/>
    </row>
    <row r="84" spans="1:38" ht="14.85" hidden="1" customHeight="1">
      <c r="B84" s="196" t="str">
        <v>Vivaro złota - maksymalna zalecana zalecana długość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 xml:space="preserve">Lacobel RAL 9005 </v>
      </c>
      <c r="AE84" s="206"/>
      <c r="AF84" s="206"/>
      <c r="AG84" s="206"/>
      <c r="AH84" s="206"/>
      <c r="AI84" s="208"/>
      <c r="AJ84" s="208"/>
      <c r="AK84" s="208"/>
      <c r="AL84" s="208"/>
    </row>
    <row r="85" spans="1:38" ht="14.85" hidden="1" customHeight="1">
      <c r="B85" s="196" t="str">
        <v>Vivaro złota szczotkowany - maksymalna zalecana zalecana długość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 xml:space="preserve">Lacobel RAL 9006 </v>
      </c>
      <c r="AE85" s="206"/>
      <c r="AF85" s="206"/>
      <c r="AG85" s="206"/>
      <c r="AH85" s="206"/>
      <c r="AI85" s="208"/>
      <c r="AJ85" s="208"/>
      <c r="AK85" s="208"/>
      <c r="AL85" s="208"/>
    </row>
    <row r="86" spans="1:38" ht="14.85" hidden="1" customHeight="1">
      <c r="B86" s="196" t="str">
        <v>Rocca elox (lewa i prawa) + Varna elox (góra i dół)</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 xml:space="preserve">Lacobel RAL 9007 </v>
      </c>
      <c r="AE86" s="206"/>
      <c r="AF86" s="206"/>
      <c r="AG86" s="206"/>
      <c r="AH86" s="206"/>
      <c r="AI86" s="208"/>
      <c r="AJ86" s="208"/>
      <c r="AK86" s="208"/>
      <c r="AL86" s="208"/>
    </row>
    <row r="87" spans="1:38" ht="14.85" hidden="1" customHeight="1">
      <c r="B87" s="196" t="str">
        <v>Rocca czarny (lewa i prawa) + Varna czarny (góra i dół)</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 xml:space="preserve">Lacobel RAL 9010 </v>
      </c>
      <c r="AE87" s="206"/>
      <c r="AF87" s="206"/>
      <c r="AG87" s="206"/>
      <c r="AH87" s="206"/>
      <c r="AI87" s="208"/>
      <c r="AJ87" s="208"/>
      <c r="AK87" s="208"/>
      <c r="AL87" s="208"/>
    </row>
    <row r="88" spans="1:38" ht="14.85" hidden="1" customHeight="1">
      <c r="B88" s="196" t="str">
        <v>ROMA czarna matowa -  maksymalna zalecana długość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9003 </v>
      </c>
      <c r="AE88" s="206"/>
      <c r="AF88" s="206"/>
      <c r="AG88" s="206"/>
      <c r="AH88" s="206"/>
      <c r="AI88" s="208"/>
      <c r="AJ88" s="208"/>
      <c r="AK88" s="208"/>
      <c r="AL88" s="208"/>
    </row>
    <row r="89" spans="1:38" ht="14.85" hidden="1" customHeight="1">
      <c r="B89" s="196" t="str">
        <v>ROMA champagne mat - maksymalna zalecana długość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 xml:space="preserve">Matelac RAL 9005 </v>
      </c>
      <c r="AE89" s="206"/>
      <c r="AF89" s="206"/>
      <c r="AG89" s="206"/>
      <c r="AH89" s="206"/>
      <c r="AI89" s="208"/>
      <c r="AJ89" s="208"/>
      <c r="AK89" s="208"/>
      <c r="AL89" s="208"/>
    </row>
    <row r="90" spans="1:38" ht="14.85" hidden="1" customHeight="1">
      <c r="B90" s="196" t="str">
        <v>ROMA GRIP czarna matowa - maksymalna zalecana długość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lustro bronz</v>
      </c>
      <c r="AE90" s="206"/>
      <c r="AF90" s="206"/>
      <c r="AG90" s="206"/>
      <c r="AH90" s="206"/>
      <c r="AI90" s="208"/>
      <c r="AJ90" s="208"/>
      <c r="AK90" s="208"/>
      <c r="AL90" s="208"/>
    </row>
    <row r="91" spans="1:38" ht="14.85" hidden="1" customHeight="1">
      <c r="B91" s="196" t="str">
        <v>ROMA GRIP champagne mat - maksymalna zalecana długość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lustro grafit</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lustro srebrny</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 xml:space="preserve">Moru brąz pionowo </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 xml:space="preserve">Moru grafit pionowo </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 xml:space="preserve">Moru brąz poziomo </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 xml:space="preserve">Moru grafit poziomo </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sYI7AFfEPWpTye9VyT7WxphPMwMSJwSVL/z5Ys/0lMDA+kG5BxqE9uPFxtYoPeieOz626FsVRyeQvddQTMRCvg==" saltValue="LDC+eSu47ia126meTA83Qw=="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586" priority="24" operator="equal">
      <formula>$A$2</formula>
    </cfRule>
  </conditionalFormatting>
  <conditionalFormatting sqref="B16:I16">
    <cfRule type="expression" dxfId="585" priority="45">
      <formula>$AU$19=0</formula>
    </cfRule>
  </conditionalFormatting>
  <conditionalFormatting sqref="B9:Q9">
    <cfRule type="expression" dxfId="584" priority="30">
      <formula>$B$9=0</formula>
    </cfRule>
  </conditionalFormatting>
  <conditionalFormatting sqref="B11:Q11">
    <cfRule type="expression" dxfId="583" priority="44">
      <formula>$AU$10=0</formula>
    </cfRule>
  </conditionalFormatting>
  <conditionalFormatting sqref="B14:Q14">
    <cfRule type="expression" dxfId="582" priority="29">
      <formula>$B$14=0</formula>
    </cfRule>
  </conditionalFormatting>
  <conditionalFormatting sqref="B17:Q17">
    <cfRule type="expression" dxfId="581" priority="28">
      <formula>$B$17=0</formula>
    </cfRule>
  </conditionalFormatting>
  <conditionalFormatting sqref="B18:Q18">
    <cfRule type="expression" dxfId="580" priority="14" stopIfTrue="1">
      <formula>$B$18=0</formula>
    </cfRule>
    <cfRule type="expression" dxfId="579" priority="17">
      <formula>$F$16=$H$61</formula>
    </cfRule>
  </conditionalFormatting>
  <conditionalFormatting sqref="B19:Q19">
    <cfRule type="expression" dxfId="578" priority="27">
      <formula>$B$19=0</formula>
    </cfRule>
  </conditionalFormatting>
  <conditionalFormatting sqref="B20:Q20">
    <cfRule type="expression" dxfId="577" priority="26">
      <formula>$B$19=0</formula>
    </cfRule>
    <cfRule type="expression" dxfId="576" priority="25">
      <formula>$B$20=0</formula>
    </cfRule>
  </conditionalFormatting>
  <conditionalFormatting sqref="B21:Q21">
    <cfRule type="expression" dxfId="575" priority="6">
      <formula>$B$21=" "</formula>
    </cfRule>
  </conditionalFormatting>
  <conditionalFormatting sqref="B24:Q24">
    <cfRule type="expression" dxfId="574" priority="19" stopIfTrue="1">
      <formula>$T$59&lt;3</formula>
    </cfRule>
  </conditionalFormatting>
  <conditionalFormatting sqref="H23">
    <cfRule type="expression" dxfId="573" priority="31">
      <formula>$H$25&gt;0</formula>
    </cfRule>
  </conditionalFormatting>
  <conditionalFormatting sqref="H10:L11">
    <cfRule type="expression" dxfId="572" priority="23">
      <formula>$AU$10=2</formula>
    </cfRule>
  </conditionalFormatting>
  <conditionalFormatting sqref="H10:Q10">
    <cfRule type="expression" dxfId="571" priority="22">
      <formula>$AU$10=0</formula>
    </cfRule>
  </conditionalFormatting>
  <conditionalFormatting sqref="H22:Q22 B22:G23">
    <cfRule type="expression" dxfId="570" priority="20">
      <formula>$AS$33=1</formula>
    </cfRule>
  </conditionalFormatting>
  <conditionalFormatting sqref="J16:M16">
    <cfRule type="expression" dxfId="569" priority="16" stopIfTrue="1">
      <formula>$K$60=TRUE</formula>
    </cfRule>
  </conditionalFormatting>
  <conditionalFormatting sqref="J16:N16">
    <cfRule type="expression" dxfId="568" priority="18" stopIfTrue="1">
      <formula>$AV$19=0</formula>
    </cfRule>
  </conditionalFormatting>
  <conditionalFormatting sqref="M10:Q11">
    <cfRule type="expression" dxfId="567" priority="21">
      <formula>$AU$10=1</formula>
    </cfRule>
  </conditionalFormatting>
  <conditionalFormatting sqref="N16:Q16">
    <cfRule type="expression" dxfId="566" priority="15" stopIfTrue="1">
      <formula>$K$60=TRUE</formula>
    </cfRule>
  </conditionalFormatting>
  <conditionalFormatting sqref="P29:Q29">
    <cfRule type="expression" dxfId="565" priority="1">
      <formula>$U$41=2</formula>
    </cfRule>
  </conditionalFormatting>
  <conditionalFormatting sqref="AA9:AA10 AA24:AA25">
    <cfRule type="expression" dxfId="564" priority="10" stopIfTrue="1">
      <formula>$AU$17=1</formula>
    </cfRule>
  </conditionalFormatting>
  <conditionalFormatting sqref="AA16:AA17">
    <cfRule type="expression" dxfId="563" priority="5" stopIfTrue="1">
      <formula>$AU$24="1_3"</formula>
    </cfRule>
  </conditionalFormatting>
  <conditionalFormatting sqref="AB6 AA6:AA7 AA27 AA28:AB28">
    <cfRule type="expression" dxfId="562" priority="4" stopIfTrue="1">
      <formula>$AV$17=1</formula>
    </cfRule>
  </conditionalFormatting>
  <conditionalFormatting sqref="AB29:AO29">
    <cfRule type="cellIs" dxfId="561" priority="2" operator="equal">
      <formula>0</formula>
    </cfRule>
  </conditionalFormatting>
  <conditionalFormatting sqref="AC6:AD6 AM6:AN6">
    <cfRule type="expression" dxfId="560" priority="12" stopIfTrue="1">
      <formula>$AU$17=3</formula>
    </cfRule>
  </conditionalFormatting>
  <conditionalFormatting sqref="AC25:AD25 AJ26:AJ27">
    <cfRule type="expression" dxfId="559" priority="39">
      <formula>$AU$25=4</formula>
    </cfRule>
  </conditionalFormatting>
  <conditionalFormatting sqref="AC28:AD28 AM28:AN28">
    <cfRule type="expression" dxfId="558" priority="11" stopIfTrue="1">
      <formula>$AU$17=4</formula>
    </cfRule>
  </conditionalFormatting>
  <conditionalFormatting sqref="AC8:AG8">
    <cfRule type="expression" dxfId="557" priority="43">
      <formula>$AU$25=3</formula>
    </cfRule>
  </conditionalFormatting>
  <conditionalFormatting sqref="AC24:AG24">
    <cfRule type="expression" dxfId="556" priority="40">
      <formula>$AU$25=4</formula>
    </cfRule>
  </conditionalFormatting>
  <conditionalFormatting sqref="AD10:AD12 AB19:AC19">
    <cfRule type="expression" dxfId="555" priority="33">
      <formula>$AU$25=1</formula>
    </cfRule>
  </conditionalFormatting>
  <conditionalFormatting sqref="AD14:AD21">
    <cfRule type="expression" dxfId="554" priority="32">
      <formula>$AU$25=1</formula>
    </cfRule>
  </conditionalFormatting>
  <conditionalFormatting sqref="AE10:AE16">
    <cfRule type="expression" dxfId="553" priority="41">
      <formula>$AU$25=1</formula>
    </cfRule>
  </conditionalFormatting>
  <conditionalFormatting sqref="AF9:AK9">
    <cfRule type="expression" dxfId="552" priority="36">
      <formula>$AU$25=3</formula>
    </cfRule>
  </conditionalFormatting>
  <conditionalFormatting sqref="AF25:AK25">
    <cfRule type="expression" dxfId="551" priority="38">
      <formula>$AU$25=4</formula>
    </cfRule>
  </conditionalFormatting>
  <conditionalFormatting sqref="AG6:AH6">
    <cfRule type="expression" dxfId="550" priority="8" stopIfTrue="1">
      <formula>$AU$24="3_3"</formula>
    </cfRule>
  </conditionalFormatting>
  <conditionalFormatting sqref="AG28:AH28">
    <cfRule type="expression" dxfId="549" priority="7" stopIfTrue="1">
      <formula>$AU$24="4_3"</formula>
    </cfRule>
  </conditionalFormatting>
  <conditionalFormatting sqref="AJ7:AJ8 AC9:AD9">
    <cfRule type="expression" dxfId="548" priority="37">
      <formula>$AU$25=3</formula>
    </cfRule>
  </conditionalFormatting>
  <conditionalFormatting sqref="AL19:AL25">
    <cfRule type="expression" dxfId="547" priority="42">
      <formula>$AU$25=2</formula>
    </cfRule>
  </conditionalFormatting>
  <conditionalFormatting sqref="AM14:AM21">
    <cfRule type="expression" dxfId="546" priority="34">
      <formula>$AU$25=2</formula>
    </cfRule>
  </conditionalFormatting>
  <conditionalFormatting sqref="AN19:AO19 AM23:AM25">
    <cfRule type="expression" dxfId="545" priority="35">
      <formula>$AU$25=2</formula>
    </cfRule>
  </conditionalFormatting>
  <conditionalFormatting sqref="AO6 AP6:AP7 AP27 AO28:AP28">
    <cfRule type="expression" dxfId="544" priority="3" stopIfTrue="1">
      <formula>$AV$17=2</formula>
    </cfRule>
  </conditionalFormatting>
  <conditionalFormatting sqref="AP9:AP10 AP24:AP25">
    <cfRule type="expression" dxfId="543" priority="9" stopIfTrue="1">
      <formula>$AU$17=2</formula>
    </cfRule>
  </conditionalFormatting>
  <conditionalFormatting sqref="AP16:AP17">
    <cfRule type="expression" dxfId="542" priority="13" stopIfTrue="1">
      <formula>$AU$24="2_3"</formula>
    </cfRule>
  </conditionalFormatting>
  <dataValidations count="20">
    <dataValidation type="whole" allowBlank="1" showInputMessage="1" showErrorMessage="1" sqref="H11:L11" xr:uid="{BD1871EC-0A2B-4252-8414-D67A656C8D53}">
      <formula1>1</formula1>
      <formula2>(AR14/100)-1</formula2>
    </dataValidation>
    <dataValidation type="whole" allowBlank="1" showInputMessage="1" showErrorMessage="1" sqref="M11:Q11" xr:uid="{518738B6-0AD2-4B37-A2CA-B926F26D13F8}">
      <formula1>1</formula1>
      <formula2>(AI30/100)-1</formula2>
    </dataValidation>
    <dataValidation type="whole" allowBlank="1" showInputMessage="1" showErrorMessage="1" errorTitle="Minimum 80 mm" sqref="F20:I20 N20:Q20" xr:uid="{C509BB4B-3AE7-428C-B059-F3539550D499}">
      <formula1>80</formula1>
      <formula2>1300</formula2>
    </dataValidation>
    <dataValidation type="whole" operator="greaterThanOrEqual" allowBlank="1" showInputMessage="1" showErrorMessage="1" sqref="H26:Q26" xr:uid="{5AC70DF2-A6BF-4804-9AB5-D92EB3CE2143}">
      <formula1>1</formula1>
    </dataValidation>
    <dataValidation type="list" allowBlank="1" showInputMessage="1" showErrorMessage="1" sqref="H12:Q12" xr:uid="{63F7DE66-DBD2-4805-8724-480190800A7A}">
      <formula1>$L$36:$M$36</formula1>
    </dataValidation>
    <dataValidation type="list" allowBlank="1" showInputMessage="1" showErrorMessage="1" sqref="H24:Q24" xr:uid="{4DA3018C-0DDC-4F35-B6BF-256342CFB185}">
      <formula1>$X$54:$X$56</formula1>
    </dataValidation>
    <dataValidation type="list" allowBlank="1" showInputMessage="1" showErrorMessage="1" sqref="H21:Q21" xr:uid="{CEFE72CA-37C8-46D7-8ED2-29FD6C92E40D}">
      <formula1>$T$54:$T$56</formula1>
    </dataValidation>
    <dataValidation type="list" allowBlank="1" showInputMessage="1" showErrorMessage="1" sqref="H14:Q14" xr:uid="{2874D3D8-03F1-400E-8DE5-86417E3CE867}">
      <formula1>$P$36:$P$38</formula1>
    </dataValidation>
    <dataValidation type="list" allowBlank="1" showInputMessage="1" showErrorMessage="1" sqref="H19:Q19" xr:uid="{57E1761C-5ECE-4A55-A05D-4EF0B5DC8F9C}">
      <formula1>IF(H13="Salice",$AJ$36,($AJ$36:$AJ$40))</formula1>
    </dataValidation>
    <dataValidation type="list" allowBlank="1" showInputMessage="1" showErrorMessage="1" sqref="H18:Q18" xr:uid="{C512FDEF-0791-4F45-A687-10BDC0BD8122}">
      <formula1>$AF$36:$AF$41</formula1>
    </dataValidation>
    <dataValidation type="list" allowBlank="1" showInputMessage="1" showErrorMessage="1" sqref="N16:Q16" xr:uid="{692ED18F-91AB-43F2-A71E-7BAE287D209D}">
      <formula1>$K$54:$K$58</formula1>
    </dataValidation>
    <dataValidation type="list" allowBlank="1" showInputMessage="1" showErrorMessage="1" sqref="H13:Q13" xr:uid="{B8C37846-1D2A-4526-8912-B55383087849}">
      <formula1>IF(M38="Salice",$L$38,$L$38:$L$42)</formula1>
    </dataValidation>
    <dataValidation type="list" allowBlank="1" showInputMessage="1" showErrorMessage="1" sqref="H15:Q15" xr:uid="{D850487C-2AC5-4047-A432-9D14B87CAB83}">
      <formula1>$T$36:$T$44</formula1>
    </dataValidation>
    <dataValidation type="list" allowBlank="1" showInputMessage="1" showErrorMessage="1" sqref="F16:I16" xr:uid="{013AD13B-49BE-4B67-BEF9-013E49C0BCB1}">
      <formula1>$O$65:$O$71</formula1>
    </dataValidation>
    <dataValidation type="list" allowBlank="1" showInputMessage="1" showErrorMessage="1" sqref="H17:Q17" xr:uid="{1B6E18AC-59C6-4B57-A955-F356459E345C}">
      <formula1>INDIRECT($P$82)</formula1>
    </dataValidation>
    <dataValidation type="whole" operator="lessThan" showInputMessage="1" showErrorMessage="1" sqref="AI30:AK30" xr:uid="{C3819147-5054-42C3-806D-4DEEF964CD96}">
      <formula1>IF(AR14&lt;AI43+1,AJ43+1,AI43+1)</formula1>
    </dataValidation>
    <dataValidation type="whole" operator="lessThan" showErrorMessage="1" sqref="AR14:AR18" xr:uid="{5EB7CDF6-261A-44D8-A100-AF5D7C7A0B49}">
      <formula1>IF(AI30&lt;AI43+1,AJ43+1,AI43+1)</formula1>
    </dataValidation>
    <dataValidation type="list" allowBlank="1" showInputMessage="1" showErrorMessage="1" sqref="P29:Q29" xr:uid="{E5684FFF-E78C-49D4-BEDA-0DEFB614B859}">
      <formula1>$W$37:$W$38</formula1>
    </dataValidation>
    <dataValidation type="list" allowBlank="1" showInputMessage="1" showErrorMessage="1" sqref="H25:Q25" xr:uid="{DE6521C2-4227-4653-A2A5-7CD8128CFE6C}">
      <formula1>$AD$54:$AD$97</formula1>
    </dataValidation>
    <dataValidation type="list" allowBlank="1" showInputMessage="1" showErrorMessage="1" sqref="H8:Q8" xr:uid="{43CDBF3B-3EF1-4734-9581-5211F1657394}">
      <formula1>B36:B91</formula1>
    </dataValidation>
  </dataValidations>
  <hyperlinks>
    <hyperlink ref="AP2:AS3" location="Hlavní!A1" display="Hlavní!A1" xr:uid="{6EEF5ED0-47DD-49D5-9560-28076653F087}"/>
    <hyperlink ref="F5:H5" location="Ram_2!A1" display="Ram_2!A1" xr:uid="{46F80A1F-6DCD-4438-A547-63C2CBF659F3}"/>
    <hyperlink ref="N5:P5" location="Ram_4!A1" display="Ram_4!A1" xr:uid="{71E8B06D-CB40-4304-88B0-AA9FCD29BAB4}"/>
    <hyperlink ref="R5:T5" location="Ram_5!A1" display="Ram_5!A1" xr:uid="{0FF66FA3-8D41-4A41-A452-0F50FBB24B02}"/>
    <hyperlink ref="V5:X5" location="Ram_6!A1" display="Ram_6!A1" xr:uid="{D0922342-5F26-4BA5-8B73-FA407A04D7C6}"/>
    <hyperlink ref="B5:D5" location="Ram_1!A1" display="Ram_1!A1" xr:uid="{B0428520-9856-4D7E-9C2E-3125F38FBE8E}"/>
    <hyperlink ref="AO31:AR32" location="_souhrn!A1" display="_souhrn!A1" xr:uid="{FADA540F-464A-4E53-AA10-B19CE7A33BAF}"/>
    <hyperlink ref="J5:L5" location="Ram_3!A1" display="Ram_3!A1" xr:uid="{4F5B796B-C315-49F6-A796-37C72D89EB6B}"/>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57150</xdr:colOff>
                    <xdr:row>6</xdr:row>
                    <xdr:rowOff>171450</xdr:rowOff>
                  </from>
                  <to>
                    <xdr:col>5</xdr:col>
                    <xdr:colOff>276225</xdr:colOff>
                    <xdr:row>7</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2465B73-D091-4377-843E-9C3E6C35DCBF}">
          <x14:formula1>
            <xm:f>'závěsy dle výklopu'!$BW$2:$BW$5</xm:f>
          </x14:formula1>
          <xm:sqref>H27:Q27</xm:sqref>
        </x14:dataValidation>
        <x14:dataValidation type="list" allowBlank="1" showInputMessage="1" showErrorMessage="1" xr:uid="{A75429D4-598F-440B-864B-8A720FD52465}">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VLOOKUP(Ram_4!H8,kombinace_4!$A$3:$C$75,3,0)</f>
        <v>N</v>
      </c>
      <c r="S1" t="str">
        <f>CONCATENATE("_",R1,V1)</f>
        <v>_N1</v>
      </c>
      <c r="U1" s="231" t="s">
        <v>1082</v>
      </c>
      <c r="V1" s="2">
        <f>IFERROR(VLOOKUP(Ram_4!H21,$EN$3:$EO$5,2,0),1)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CONCATENATE("_",Ram_4!H12,"_",Ram_4!H13)</f>
        <v>__</v>
      </c>
      <c r="BV2" t="s">
        <v>1100</v>
      </c>
      <c r="BW2" t="s">
        <v>1095</v>
      </c>
      <c r="BY2" t="s">
        <v>112</v>
      </c>
      <c r="CA2" t="s">
        <v>1127</v>
      </c>
      <c r="CD2" t="s">
        <v>1202</v>
      </c>
      <c r="CF2" t="s">
        <v>1447</v>
      </c>
      <c r="DN2" t="str">
        <f>'Translate&amp;Prices&amp;Logo'!B553</f>
        <v>Nakładany</v>
      </c>
      <c r="DP2" t="str">
        <f>'Translate&amp;Prices&amp;Logo'!$B$551</f>
        <v>Zawiasy</v>
      </c>
      <c r="DQ2">
        <v>2</v>
      </c>
      <c r="ED2" t="s">
        <v>1770</v>
      </c>
      <c r="EE2" t="s">
        <v>1864</v>
      </c>
      <c r="ER2" t="s">
        <v>2278</v>
      </c>
      <c r="ES2" t="s">
        <v>2283</v>
      </c>
      <c r="EV2">
        <v>2</v>
      </c>
      <c r="EW2" t="s">
        <v>2300</v>
      </c>
      <c r="EY2" s="271" t="str">
        <f>'Translate&amp;Prices&amp;Logo'!B164</f>
        <v>siatka alu złota - oko 10x6x1 mm</v>
      </c>
      <c r="FA2" s="75" t="str">
        <f>'Translate&amp;Prices&amp;Logo'!B644</f>
        <v>520405 SALICE AIR SOFT zawiasy niklowe o kącie otwarcia 92° kpl. 2 szt</v>
      </c>
      <c r="FC2" t="b">
        <v>0</v>
      </c>
    </row>
    <row r="3" spans="1:160">
      <c r="A3" t="str">
        <f>'Translate&amp;Prices&amp;Logo'!$B$6</f>
        <v>BRW (elox.) - maksymalna zalecana długość profilu 2500 mm</v>
      </c>
      <c r="B3">
        <v>1</v>
      </c>
      <c r="C3" t="s">
        <v>662</v>
      </c>
      <c r="D3">
        <v>1</v>
      </c>
      <c r="F3" t="s">
        <v>1036</v>
      </c>
      <c r="G3" t="s">
        <v>384</v>
      </c>
      <c r="H3" t="s">
        <v>1037</v>
      </c>
      <c r="I3">
        <v>1</v>
      </c>
      <c r="J3">
        <v>2</v>
      </c>
      <c r="K3" t="s">
        <v>662</v>
      </c>
      <c r="M3" t="s">
        <v>1038</v>
      </c>
      <c r="N3" t="s">
        <v>556</v>
      </c>
      <c r="X3" t="str">
        <f>'Translate&amp;Prices&amp;Logo'!$B$563</f>
        <v>transparentna</v>
      </c>
      <c r="Y3">
        <v>1</v>
      </c>
      <c r="AA3" t="s">
        <v>2204</v>
      </c>
      <c r="AB3" t="s">
        <v>1095</v>
      </c>
      <c r="AF3" t="s">
        <v>107</v>
      </c>
      <c r="AG3" t="s">
        <v>2514</v>
      </c>
      <c r="AY3" t="s">
        <v>1070</v>
      </c>
      <c r="BK3" t="s">
        <v>107</v>
      </c>
      <c r="BU3" t="e">
        <f>VLOOKUP(BU2,BV:BW,2,0)</f>
        <v>#N/A</v>
      </c>
      <c r="BV3" t="s">
        <v>1103</v>
      </c>
      <c r="BW3" t="s">
        <v>1099</v>
      </c>
      <c r="BY3" t="str">
        <f>'Translate&amp;Prices&amp;Logo'!$B$230</f>
        <v>W lewo</v>
      </c>
      <c r="BZ3">
        <v>1</v>
      </c>
      <c r="CA3">
        <v>32</v>
      </c>
      <c r="CD3" t="s">
        <v>2511</v>
      </c>
      <c r="CE3">
        <v>1</v>
      </c>
      <c r="CF3">
        <v>1</v>
      </c>
      <c r="DN3" t="str">
        <f>IF(OR(Ram_4!$H$13&amp;Ram_4!$AU$7=Ram_4!$M$44,
Ram_4!$H$13&amp;Ram_4!$AU$7=Ram_4!$M$45,
Ram_4!$H$13&amp;Ram_4!$AU$7=Ram_4!$M$46,
Ram_4!$H$13&amp;Ram_4!$AU$7=Ram_4!$M$47),
'Translate&amp;Prices&amp;Logo'!B657,'Translate&amp;Prices&amp;Logo'!B554)</f>
        <v>Półnakładany</v>
      </c>
      <c r="DP3" t="str">
        <f>'Translate&amp;Prices&amp;Logo'!$B$552</f>
        <v>Podnośniki</v>
      </c>
      <c r="DQ3">
        <v>3</v>
      </c>
      <c r="ED3" t="s">
        <v>1771</v>
      </c>
      <c r="EE3" t="s">
        <v>1865</v>
      </c>
      <c r="EJ3">
        <v>1</v>
      </c>
      <c r="EK3" t="s">
        <v>115</v>
      </c>
      <c r="EN3" t="str">
        <f>'Translate&amp;Prices&amp;Logo'!B638</f>
        <v>Bez modyfikacji</v>
      </c>
      <c r="EO3">
        <v>1</v>
      </c>
      <c r="ER3" t="s">
        <v>2276</v>
      </c>
      <c r="ES3" t="s">
        <v>2284</v>
      </c>
      <c r="EV3">
        <v>3</v>
      </c>
      <c r="EW3" t="s">
        <v>2301</v>
      </c>
      <c r="EY3" s="271" t="str">
        <f>'Translate&amp;Prices&amp;Logo'!B165</f>
        <v>siatka stal czarny mat RAL 9005– oko 8x4x1 mm</v>
      </c>
      <c r="FA3" s="75" t="str">
        <f>'Translate&amp;Prices&amp;Logo'!B645</f>
        <v>520406 SALICE AIR PUSH TO OPEN zawiasy niklowe z zestawem adapterów 2 szt</v>
      </c>
    </row>
    <row r="4" spans="1:160">
      <c r="A4" t="str">
        <f>'Translate&amp;Prices&amp;Logo'!$B$8</f>
        <v>BRW bialy matowy RAL 9003 - maksymalna zalecana długość profilu 2500 mm</v>
      </c>
      <c r="B4">
        <v>1</v>
      </c>
      <c r="C4" t="s">
        <v>662</v>
      </c>
      <c r="D4">
        <v>0</v>
      </c>
      <c r="G4" t="s">
        <v>1037</v>
      </c>
      <c r="H4" t="s">
        <v>384</v>
      </c>
      <c r="I4">
        <v>0</v>
      </c>
      <c r="J4">
        <v>2</v>
      </c>
      <c r="K4" t="s">
        <v>662</v>
      </c>
      <c r="M4" t="s">
        <v>1041</v>
      </c>
      <c r="N4" t="s">
        <v>942</v>
      </c>
      <c r="X4" t="str">
        <f>'Translate&amp;Prices&amp;Logo'!$B$564</f>
        <v>Biała</v>
      </c>
      <c r="Y4">
        <v>2</v>
      </c>
      <c r="AA4" t="s">
        <v>1040</v>
      </c>
      <c r="AB4" t="s">
        <v>2511</v>
      </c>
      <c r="AC4">
        <v>1</v>
      </c>
      <c r="AD4">
        <v>1</v>
      </c>
      <c r="AF4" t="s">
        <v>108</v>
      </c>
      <c r="AG4" t="s">
        <v>2514</v>
      </c>
      <c r="AY4" t="s">
        <v>1070</v>
      </c>
      <c r="AZ4" t="s">
        <v>1105</v>
      </c>
      <c r="BK4" t="s">
        <v>108</v>
      </c>
      <c r="BV4" t="s">
        <v>1104</v>
      </c>
      <c r="BW4" t="s">
        <v>1098</v>
      </c>
      <c r="BY4" t="str">
        <f>'Translate&amp;Prices&amp;Logo'!$B$229</f>
        <v>W prawo</v>
      </c>
      <c r="BZ4">
        <v>2</v>
      </c>
      <c r="CA4">
        <v>64</v>
      </c>
      <c r="CD4" t="s">
        <v>2275</v>
      </c>
      <c r="CE4">
        <v>1</v>
      </c>
      <c r="CF4">
        <v>0</v>
      </c>
      <c r="DN4" t="str">
        <f>IF(OR(Ram_4!$H$13&amp;Ram_4!$AU$7=Ram_4!$M$44,
Ram_4!$H$13&amp;Ram_4!$AU$7=Ram_4!$M$45,
Ram_4!$H$13&amp;Ram_4!$AU$7=Ram_4!$M$46,
Ram_4!$H$13&amp;Ram_4!$AU$7=Ram_4!$M$47),
'Translate&amp;Prices&amp;Logo'!B657,'Translate&amp;Prices&amp;Logo'!B555)</f>
        <v>Wpuszczany</v>
      </c>
      <c r="ED4" t="s">
        <v>1772</v>
      </c>
      <c r="EE4" t="s">
        <v>1866</v>
      </c>
      <c r="EJ4">
        <v>2</v>
      </c>
      <c r="EK4" t="s">
        <v>116</v>
      </c>
      <c r="EN4" t="str">
        <f>'Translate&amp;Prices&amp;Logo'!B639</f>
        <v>Hartowane (termin dostawy 4 tygodnie)</v>
      </c>
      <c r="EO4">
        <v>2</v>
      </c>
      <c r="ER4" t="s">
        <v>2586</v>
      </c>
      <c r="ES4" t="s">
        <v>2587</v>
      </c>
      <c r="EV4">
        <v>4</v>
      </c>
      <c r="EW4" t="s">
        <v>2302</v>
      </c>
      <c r="EY4" s="271" t="str">
        <f>'Translate&amp;Prices&amp;Logo'!B166</f>
        <v>siatka stalowa biała - oko 8x4x1 mm</v>
      </c>
      <c r="FA4" s="75" t="str">
        <f>'Translate&amp;Prices&amp;Logo'!B646</f>
        <v>520407 SALICE AIR PUSH TO OPEN zawiasy niklowe z zestawem adapterów 2 szt</v>
      </c>
      <c r="FD4" s="293"/>
    </row>
    <row r="5" spans="1:160">
      <c r="A5" t="str">
        <f>'Translate&amp;Prices&amp;Logo'!$B$9</f>
        <v>BRW bialy połysk RAL 9003 - maksymalna zalecana długość profilu 2500 mm</v>
      </c>
      <c r="B5">
        <v>1</v>
      </c>
      <c r="C5" t="s">
        <v>662</v>
      </c>
      <c r="D5">
        <v>0</v>
      </c>
      <c r="F5" t="s">
        <v>1043</v>
      </c>
      <c r="G5" t="s">
        <v>383</v>
      </c>
      <c r="H5" t="s">
        <v>1037</v>
      </c>
      <c r="I5">
        <v>1</v>
      </c>
      <c r="J5">
        <v>2</v>
      </c>
      <c r="K5" t="s">
        <v>662</v>
      </c>
      <c r="M5" t="s">
        <v>1044</v>
      </c>
      <c r="N5" t="s">
        <v>558</v>
      </c>
      <c r="X5" t="str">
        <f>'Translate&amp;Prices&amp;Logo'!$B$565</f>
        <v>czarna</v>
      </c>
      <c r="Y5">
        <v>3</v>
      </c>
      <c r="AA5" t="s">
        <v>1040</v>
      </c>
      <c r="AB5" t="s">
        <v>2515</v>
      </c>
      <c r="AC5">
        <v>0</v>
      </c>
      <c r="AD5">
        <v>0</v>
      </c>
      <c r="AF5" t="s">
        <v>107</v>
      </c>
      <c r="AG5" t="s">
        <v>2516</v>
      </c>
      <c r="AY5" t="s">
        <v>1070</v>
      </c>
      <c r="AZ5" t="s">
        <v>1106</v>
      </c>
      <c r="BK5" t="s">
        <v>1047</v>
      </c>
      <c r="BV5" t="s">
        <v>2638</v>
      </c>
      <c r="BW5" t="s">
        <v>2639</v>
      </c>
      <c r="BY5" t="str">
        <f>'Translate&amp;Prices&amp;Logo'!$B$227</f>
        <v>W górę</v>
      </c>
      <c r="BZ5">
        <v>3</v>
      </c>
      <c r="CA5">
        <v>76</v>
      </c>
      <c r="CD5" t="s">
        <v>1050</v>
      </c>
      <c r="CE5">
        <v>1</v>
      </c>
      <c r="CF5">
        <v>0</v>
      </c>
      <c r="ED5" t="s">
        <v>1773</v>
      </c>
      <c r="EE5" t="s">
        <v>1867</v>
      </c>
      <c r="EJ5">
        <v>3</v>
      </c>
      <c r="EK5" t="s">
        <v>76</v>
      </c>
      <c r="EN5" t="str">
        <f>'Translate&amp;Prices&amp;Logo'!B640</f>
        <v>Folia</v>
      </c>
      <c r="EO5">
        <v>3</v>
      </c>
      <c r="ER5" t="s">
        <v>2588</v>
      </c>
      <c r="ES5" t="s">
        <v>2589</v>
      </c>
      <c r="EV5">
        <v>5</v>
      </c>
      <c r="EW5" t="s">
        <v>2300</v>
      </c>
      <c r="EY5" s="271" t="str">
        <f>'Translate&amp;Prices&amp;Logo'!B167</f>
        <v>siatka elox - oko 10x6x1 mm</v>
      </c>
      <c r="FA5" s="75" t="str">
        <f>'Translate&amp;Prices&amp;Logo'!B647</f>
        <v>520408 SALICE AIR SOFT zawiasy niklowe z zestawem adapterów 2 szt</v>
      </c>
      <c r="FD5" s="293"/>
    </row>
    <row r="6" spans="1:160">
      <c r="A6" t="str">
        <f>'Translate&amp;Prices&amp;Logo'!$B$11</f>
        <v>BRW szczotkowany - maksymalna zalecana długość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W dół</v>
      </c>
      <c r="BZ6">
        <v>4</v>
      </c>
      <c r="CA6">
        <v>96</v>
      </c>
      <c r="CD6" t="s">
        <v>1053</v>
      </c>
      <c r="CE6">
        <v>1</v>
      </c>
      <c r="CF6">
        <v>1</v>
      </c>
      <c r="ED6" t="s">
        <v>1774</v>
      </c>
      <c r="EE6" t="s">
        <v>1868</v>
      </c>
      <c r="EJ6">
        <v>4</v>
      </c>
      <c r="EK6" t="s">
        <v>77</v>
      </c>
      <c r="ER6" t="s">
        <v>2590</v>
      </c>
      <c r="ES6" t="s">
        <v>2591</v>
      </c>
      <c r="FA6" s="75" t="str">
        <f>'Translate&amp;Prices&amp;Logo'!B648</f>
        <v>520410 SALICE AIR SOFT TITANIUM  zawiasy o kącie otwarcia 92° kpl. 2 szt</v>
      </c>
    </row>
    <row r="7" spans="1:160">
      <c r="A7" t="str">
        <f>'Translate&amp;Prices&amp;Logo'!$B$12</f>
        <v>BRW Czarny matowy - maksymalna zalecana długość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zawiasy komplet 2 szt</v>
      </c>
      <c r="FD7" s="293"/>
    </row>
    <row r="8" spans="1:160">
      <c r="A8" t="str">
        <f>'Translate&amp;Prices&amp;Logo'!$B$14</f>
        <v>BRW czarna szczotka - maksymalna zalecana długość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zawiasy z zestawem adapterów 2 szt</v>
      </c>
    </row>
    <row r="9" spans="1:160">
      <c r="A9" t="str">
        <f>'Translate&amp;Prices&amp;Logo'!$B$15</f>
        <v>BRW acier grata - maksymalna zalecana długość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zawiasy z zestawem adapterów 2 szt</v>
      </c>
    </row>
    <row r="10" spans="1:160">
      <c r="A10" t="str">
        <f>'Translate&amp;Prices&amp;Logo'!$B$7</f>
        <v>BRW antracyt RAL 7021 - maksymalna zalecana długość profilu 2500 mm</v>
      </c>
      <c r="B10">
        <v>1</v>
      </c>
      <c r="C10" t="s">
        <v>662</v>
      </c>
      <c r="D10">
        <v>0</v>
      </c>
      <c r="M10" t="str">
        <f>'Translate&amp;Prices&amp;Logo'!B558</f>
        <v>Poziomo (termin dostawy 4 tygodnie)</v>
      </c>
      <c r="N10">
        <f>IF(Ram_4!$H$9=kombinace_1!M10,1,0)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maksymalna zalecana długość profilu 2500 mm</v>
      </c>
      <c r="B11">
        <v>1</v>
      </c>
      <c r="C11" t="s">
        <v>662</v>
      </c>
      <c r="D11">
        <v>0</v>
      </c>
      <c r="M11" t="str">
        <f>'Translate&amp;Prices&amp;Logo'!B559</f>
        <v>Pionowo (termin dostawy 4 tygodnie)</v>
      </c>
      <c r="N11">
        <f>IF(Ram_4!$H$9=kombinace_1!M11,2,0)</f>
        <v>0</v>
      </c>
      <c r="AC11">
        <v>0</v>
      </c>
      <c r="AD11">
        <v>0</v>
      </c>
      <c r="AF11" t="s">
        <v>107</v>
      </c>
      <c r="AG11" t="s">
        <v>1055</v>
      </c>
      <c r="AY11" t="s">
        <v>1040</v>
      </c>
      <c r="AZ11" t="s">
        <v>1111</v>
      </c>
      <c r="BQ11" s="273" t="s">
        <v>2390</v>
      </c>
      <c r="BY11">
        <v>5</v>
      </c>
      <c r="CA11">
        <v>240</v>
      </c>
      <c r="CD11" t="str">
        <f>CONCATENATE('Translate&amp;Prices&amp;Logo'!B664,"_K12")</f>
        <v>dolny_K12</v>
      </c>
      <c r="CE11">
        <v>1</v>
      </c>
      <c r="CF11">
        <v>0</v>
      </c>
      <c r="DN11" t="s">
        <v>70</v>
      </c>
      <c r="DO11" s="2" t="s">
        <v>70</v>
      </c>
      <c r="ED11" t="s">
        <v>1779</v>
      </c>
      <c r="EE11" t="s">
        <v>1873</v>
      </c>
      <c r="ER11" t="s">
        <v>2280</v>
      </c>
      <c r="ES11" t="s">
        <v>2286</v>
      </c>
      <c r="FD11" s="293"/>
    </row>
    <row r="12" spans="1:160">
      <c r="A12" t="str">
        <f>'Translate&amp;Prices&amp;Logo'!$B$70</f>
        <v>BRW champagne light - maksymalna zalecana długość profilu 2500 mm</v>
      </c>
      <c r="B12">
        <v>1</v>
      </c>
      <c r="C12" t="s">
        <v>662</v>
      </c>
      <c r="D12">
        <v>0</v>
      </c>
      <c r="M12" t="str">
        <f>'Translate&amp;Prices&amp;Logo'!B560</f>
        <v>Poziomo i pionowo (termin dostawy 4 tygodnie)</v>
      </c>
      <c r="N12">
        <f>IF(Ram_4!$H$9=kombinace_1!M12,3,0)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brąz - maksymalna zalecana długość profilu 2500 mm</v>
      </c>
      <c r="B13">
        <v>1</v>
      </c>
      <c r="C13" t="s">
        <v>662</v>
      </c>
      <c r="D13">
        <v>0</v>
      </c>
      <c r="AC13">
        <v>0</v>
      </c>
      <c r="AD13">
        <v>0</v>
      </c>
      <c r="AF13" t="s">
        <v>107</v>
      </c>
      <c r="AG13" t="s">
        <v>1058</v>
      </c>
      <c r="AY13" t="s">
        <v>1040</v>
      </c>
      <c r="AZ13" t="s">
        <v>1113</v>
      </c>
      <c r="BQ13" s="274"/>
      <c r="BR13" t="s">
        <v>1052</v>
      </c>
      <c r="BY13" t="str">
        <f>'Translate&amp;Prices&amp;Logo'!$B$558</f>
        <v>Poziomo (termin dostawy 4 tygodnie)</v>
      </c>
      <c r="BZ13">
        <v>1</v>
      </c>
      <c r="CA13">
        <v>288</v>
      </c>
      <c r="CD13" t="str">
        <f>CONCATENATE('Translate&amp;Prices&amp;Logo'!B664,"_kraby")</f>
        <v>dolny_kraby</v>
      </c>
      <c r="CE13">
        <v>1</v>
      </c>
      <c r="CF13">
        <v>0</v>
      </c>
      <c r="DN13" t="s">
        <v>222</v>
      </c>
      <c r="DO13" s="2" t="s">
        <v>69</v>
      </c>
      <c r="ED13" t="s">
        <v>2648</v>
      </c>
      <c r="EE13" t="s">
        <v>2647</v>
      </c>
      <c r="ER13" t="s">
        <v>2282</v>
      </c>
      <c r="ES13" t="s">
        <v>2282</v>
      </c>
    </row>
    <row r="14" spans="1:160">
      <c r="A14" t="str">
        <f>'Translate&amp;Prices&amp;Logo'!$B$16</f>
        <v>BRW INOX (stal nierdzewna) - maksymalna zalecana długość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Pionowo (termin dostawy 4 tygodnie)</v>
      </c>
      <c r="BZ14">
        <v>2</v>
      </c>
      <c r="CA14">
        <v>320</v>
      </c>
      <c r="CD14" t="s">
        <v>1066</v>
      </c>
      <c r="CE14">
        <v>1</v>
      </c>
      <c r="CF14">
        <v>0</v>
      </c>
      <c r="DN14" t="s">
        <v>223</v>
      </c>
      <c r="DO14" s="2" t="s">
        <v>70</v>
      </c>
      <c r="ED14" t="s">
        <v>1781</v>
      </c>
      <c r="EE14" t="s">
        <v>1875</v>
      </c>
      <c r="ER14" t="s">
        <v>2283</v>
      </c>
      <c r="ES14" t="s">
        <v>2283</v>
      </c>
    </row>
    <row r="15" spans="1:160">
      <c r="A15" t="str">
        <f>'Translate&amp;Prices&amp;Logo'!$B$13</f>
        <v>BRW złota- maksymalna zalecana długość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Poziomo i pionowo (termin dostawy 4 tygodnie)</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złota szczotkowany - maksymalna zalecana zalecana długość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StrongLift_gorny</v>
      </c>
      <c r="CE16">
        <v>1</v>
      </c>
      <c r="CF16">
        <v>1</v>
      </c>
      <c r="DN16" t="s">
        <v>286</v>
      </c>
      <c r="DO16" s="2" t="s">
        <v>69</v>
      </c>
      <c r="ED16" t="s">
        <v>1783</v>
      </c>
      <c r="EE16" t="s">
        <v>1877</v>
      </c>
      <c r="ER16" t="s">
        <v>2587</v>
      </c>
      <c r="ES16" t="s">
        <v>2587</v>
      </c>
      <c r="FD16" s="293"/>
    </row>
    <row r="17" spans="1:160">
      <c r="A17" t="str">
        <f>'Translate&amp;Prices&amp;Logo'!$B$17</f>
        <v>Corleone (elox.)- maksymalna zalecana długość profilu 1500 mm</v>
      </c>
      <c r="B17">
        <v>2</v>
      </c>
      <c r="C17" t="s">
        <v>662</v>
      </c>
      <c r="D17">
        <v>0</v>
      </c>
      <c r="E17">
        <v>3</v>
      </c>
      <c r="F17">
        <f>'Translate&amp;Prices&amp;Logo'!$B$82</f>
        <v>0</v>
      </c>
      <c r="AA17" t="s">
        <v>1052</v>
      </c>
      <c r="AB17" t="str">
        <f>IF(Ram_4!AU7=2,"FREEspace"," ")</f>
        <v>FREEspace</v>
      </c>
      <c r="AC17">
        <v>0</v>
      </c>
      <c r="AD17">
        <v>0</v>
      </c>
      <c r="AF17" t="s">
        <v>107</v>
      </c>
      <c r="AG17" t="s">
        <v>1061</v>
      </c>
      <c r="AY17" t="s">
        <v>2577</v>
      </c>
      <c r="AZ17" t="s">
        <v>2579</v>
      </c>
      <c r="CA17">
        <v>480</v>
      </c>
      <c r="CD17" t="str">
        <f>'Translate&amp;Prices&amp;Logo'!B660</f>
        <v>StrongLift_dolny</v>
      </c>
      <c r="CE17">
        <v>1</v>
      </c>
      <c r="CF17">
        <v>1</v>
      </c>
      <c r="DN17" t="s">
        <v>1363</v>
      </c>
      <c r="DO17" s="2" t="s">
        <v>70</v>
      </c>
      <c r="ED17" t="s">
        <v>1784</v>
      </c>
      <c r="EE17" t="s">
        <v>1878</v>
      </c>
      <c r="ER17" t="s">
        <v>2589</v>
      </c>
      <c r="ES17" t="s">
        <v>2589</v>
      </c>
      <c r="FD17" s="293"/>
    </row>
    <row r="18" spans="1:160">
      <c r="A18" t="str">
        <f>'Translate&amp;Prices&amp;Logo'!$B$18</f>
        <v>Corleone czarny matowy - maksymalna zalecana długość profilu 1500 mm</v>
      </c>
      <c r="B18">
        <v>2</v>
      </c>
      <c r="C18" t="s">
        <v>662</v>
      </c>
      <c r="D18">
        <v>0</v>
      </c>
      <c r="E18">
        <v>3</v>
      </c>
      <c r="F18" t="str">
        <f>'Translate&amp;Prices&amp;Logo'!$B$80</f>
        <v>Rocca elox (lewa i prawa) + Varna elox (góra i dół)</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czarne  - maksymalna zalecana długość profilu 2150</v>
      </c>
      <c r="B19">
        <v>1</v>
      </c>
      <c r="C19" t="s">
        <v>1084</v>
      </c>
      <c r="D19">
        <v>0</v>
      </c>
      <c r="F19" t="str">
        <f>'Translate&amp;Prices&amp;Logo'!$B$81</f>
        <v>Rocca czarny (lewa i prawa) + Varna czarny (góra i dół)</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antracyt mat RAL 7021 mat lakier - maksymalna zalecana długość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maksymalna zalecana długość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Czarny matowy - maksymalna zalecana długość profilu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bialy matowy RAL 9003 - maksymalna zalecana długość profilu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złota - maksymalna zalecana zalecana długość profilu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maksymalna zalecana długość profilu 2500 mm</v>
      </c>
      <c r="B25">
        <v>2</v>
      </c>
      <c r="C25" t="s">
        <v>662</v>
      </c>
      <c r="D25">
        <v>0</v>
      </c>
      <c r="AF25" t="s">
        <v>107</v>
      </c>
      <c r="AG25" t="s">
        <v>1066</v>
      </c>
      <c r="BY25">
        <v>8</v>
      </c>
      <c r="ED25" t="s">
        <v>1792</v>
      </c>
      <c r="EE25" t="s">
        <v>1886</v>
      </c>
      <c r="ER25" t="s">
        <v>2292</v>
      </c>
      <c r="ES25" t="s">
        <v>2292</v>
      </c>
    </row>
    <row r="26" spans="1:160">
      <c r="A26" t="str">
        <f>'Translate&amp;Prices&amp;Logo'!$B$23</f>
        <v>Modena Czarny matowy - maksymalna zalecana długość profilu 2500 mm</v>
      </c>
      <c r="B26">
        <v>2</v>
      </c>
      <c r="C26" t="s">
        <v>662</v>
      </c>
      <c r="D26">
        <v>0</v>
      </c>
      <c r="AF26" t="s">
        <v>108</v>
      </c>
      <c r="AG26" t="s">
        <v>1066</v>
      </c>
      <c r="BY26">
        <v>9</v>
      </c>
      <c r="ED26" t="s">
        <v>1793</v>
      </c>
      <c r="EE26" t="s">
        <v>1887</v>
      </c>
      <c r="ER26" t="s">
        <v>2293</v>
      </c>
      <c r="ES26" t="s">
        <v>2293</v>
      </c>
    </row>
    <row r="27" spans="1:160">
      <c r="A27" t="str">
        <f>'Translate&amp;Prices&amp;Logo'!$B$25</f>
        <v>Modena czarna szczotka - maksymalna zalecana długość profilu 2500 mm</v>
      </c>
      <c r="B27">
        <v>2</v>
      </c>
      <c r="C27" t="s">
        <v>662</v>
      </c>
      <c r="D27">
        <v>0</v>
      </c>
      <c r="AF27" t="s">
        <v>107</v>
      </c>
      <c r="AG27" t="s">
        <v>1067</v>
      </c>
      <c r="BY27">
        <v>10</v>
      </c>
      <c r="ED27" t="s">
        <v>1794</v>
      </c>
      <c r="EE27" t="s">
        <v>1888</v>
      </c>
      <c r="ER27" t="s">
        <v>2294</v>
      </c>
      <c r="ES27" t="s">
        <v>2294</v>
      </c>
    </row>
    <row r="28" spans="1:160">
      <c r="A28" t="str">
        <f>'Translate&amp;Prices&amp;Logo'!$B$26</f>
        <v>Modena INOX (stal nierdzewna) - maksymalna zalecana długość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dolny_K12</v>
      </c>
      <c r="AC30">
        <v>1</v>
      </c>
      <c r="AD30">
        <v>0</v>
      </c>
      <c r="AF30" t="s">
        <v>108</v>
      </c>
      <c r="AG30" t="s">
        <v>1068</v>
      </c>
      <c r="ED30" t="s">
        <v>1797</v>
      </c>
      <c r="EE30" t="s">
        <v>1891</v>
      </c>
      <c r="ER30" t="s">
        <v>2600</v>
      </c>
      <c r="ES30" t="s">
        <v>2600</v>
      </c>
    </row>
    <row r="31" spans="1:160">
      <c r="A31" t="str">
        <f>'Translate&amp;Prices&amp;Logo'!$B$29</f>
        <v>Pisa (elox.) - maksymalna zalecana długość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biały połysk RAL 9003 - maksymalna zalecana zalecana długość profilu 2500 mm</v>
      </c>
      <c r="B32">
        <v>2</v>
      </c>
      <c r="C32" t="s">
        <v>1084</v>
      </c>
      <c r="D32">
        <v>0</v>
      </c>
      <c r="AA32" t="s">
        <v>1062</v>
      </c>
      <c r="AB32" t="str">
        <f>CONCATENATE('Translate&amp;Prices&amp;Logo'!B664,"_kraby")</f>
        <v>dolny_kraby</v>
      </c>
      <c r="AC32">
        <v>1</v>
      </c>
      <c r="AD32">
        <v>0</v>
      </c>
      <c r="AF32" t="s">
        <v>108</v>
      </c>
      <c r="AG32" t="s">
        <v>1069</v>
      </c>
      <c r="BY32" t="str">
        <f>'Translate&amp;Prices&amp;Logo'!$B$230</f>
        <v>W lewo</v>
      </c>
      <c r="BZ32" t="str">
        <f>'Translate&amp;Prices&amp;Logo'!$B$589</f>
        <v>(dolnej)</v>
      </c>
      <c r="CA32" t="str">
        <f>'Translate&amp;Prices&amp;Logo'!$B$591</f>
        <v>(górnej)</v>
      </c>
      <c r="CC32" t="str">
        <f>'Translate&amp;Prices&amp;Logo'!$O$589</f>
        <v>(dolnej)</v>
      </c>
      <c r="CD32" t="str">
        <f>'Translate&amp;Prices&amp;Logo'!$O$591</f>
        <v>(górnej)</v>
      </c>
      <c r="ED32" t="s">
        <v>1799</v>
      </c>
      <c r="EE32" t="s">
        <v>1893</v>
      </c>
      <c r="ER32" t="s">
        <v>2602</v>
      </c>
      <c r="ES32" t="s">
        <v>2602</v>
      </c>
    </row>
    <row r="33" spans="1:149">
      <c r="A33" t="str">
        <f>'Translate&amp;Prices&amp;Logo'!$B$30</f>
        <v>Pisa Czarny matowy - maksymalna zalecana długość profilu 2500 mm</v>
      </c>
      <c r="B33">
        <v>2</v>
      </c>
      <c r="C33" t="s">
        <v>1084</v>
      </c>
      <c r="D33">
        <v>0</v>
      </c>
      <c r="AA33" t="s">
        <v>1062</v>
      </c>
      <c r="AB33" t="s">
        <v>1066</v>
      </c>
      <c r="AC33">
        <v>1</v>
      </c>
      <c r="AD33">
        <v>0</v>
      </c>
      <c r="AF33" t="s">
        <v>107</v>
      </c>
      <c r="AG33" t="s">
        <v>1071</v>
      </c>
      <c r="BY33" t="str">
        <f>'Translate&amp;Prices&amp;Logo'!$B$229</f>
        <v>W prawo</v>
      </c>
      <c r="BZ33" t="str">
        <f>'Translate&amp;Prices&amp;Logo'!$B$589</f>
        <v>(dolnej)</v>
      </c>
      <c r="CA33" t="str">
        <f>'Translate&amp;Prices&amp;Logo'!$B$591</f>
        <v>(górnej)</v>
      </c>
      <c r="CC33" t="str">
        <f>'Translate&amp;Prices&amp;Logo'!$O$589</f>
        <v>(dolnej)</v>
      </c>
      <c r="CD33" t="str">
        <f>'Translate&amp;Prices&amp;Logo'!$O$591</f>
        <v>(górnej)</v>
      </c>
      <c r="ED33" t="s">
        <v>1800</v>
      </c>
      <c r="EE33" t="s">
        <v>1894</v>
      </c>
      <c r="ER33" t="s">
        <v>2603</v>
      </c>
      <c r="ES33" t="s">
        <v>2603</v>
      </c>
    </row>
    <row r="34" spans="1:149">
      <c r="A34" t="str">
        <f>'Translate&amp;Prices&amp;Logo'!$B$58</f>
        <v>Pisa złota - maksymalna zalecana długość profilu 2150 mm</v>
      </c>
      <c r="B34">
        <v>2</v>
      </c>
      <c r="C34" t="s">
        <v>1084</v>
      </c>
      <c r="D34">
        <v>0</v>
      </c>
      <c r="AB34" t="s">
        <v>1067</v>
      </c>
      <c r="AC34">
        <v>1</v>
      </c>
      <c r="AD34">
        <v>0</v>
      </c>
      <c r="AF34" t="s">
        <v>108</v>
      </c>
      <c r="AG34" t="s">
        <v>1071</v>
      </c>
      <c r="BY34" t="str">
        <f>'Translate&amp;Prices&amp;Logo'!$B$227</f>
        <v>W górę</v>
      </c>
      <c r="BZ34" t="str">
        <f>'Translate&amp;Prices&amp;Logo'!$B$590</f>
        <v>(lewej)</v>
      </c>
      <c r="CA34" t="str">
        <f>'Translate&amp;Prices&amp;Logo'!$B$592</f>
        <v>(prawej)</v>
      </c>
      <c r="CC34" t="str">
        <f>'Translate&amp;Prices&amp;Logo'!$O$590</f>
        <v>(lewej)</v>
      </c>
      <c r="CD34" t="str">
        <f>'Translate&amp;Prices&amp;Logo'!$O$592</f>
        <v>(prawej)</v>
      </c>
      <c r="ED34" t="s">
        <v>1801</v>
      </c>
      <c r="EE34" t="s">
        <v>1895</v>
      </c>
      <c r="ER34" t="s">
        <v>2295</v>
      </c>
      <c r="ES34" t="s">
        <v>2295</v>
      </c>
    </row>
    <row r="35" spans="1:149">
      <c r="A35" t="str">
        <f>'Translate&amp;Prices&amp;Logo'!$B$50</f>
        <v>Rocca (elox.) - maksymalna zalecana zalecana długość profilu 2150 mm</v>
      </c>
      <c r="B35">
        <v>1</v>
      </c>
      <c r="C35" t="s">
        <v>662</v>
      </c>
      <c r="D35">
        <v>0</v>
      </c>
      <c r="BY35" t="str">
        <f>'Translate&amp;Prices&amp;Logo'!$B$228</f>
        <v>W dół</v>
      </c>
      <c r="BZ35" t="str">
        <f>'Translate&amp;Prices&amp;Logo'!$B$590</f>
        <v>(lewej)</v>
      </c>
      <c r="CA35" t="str">
        <f>'Translate&amp;Prices&amp;Logo'!$B$592</f>
        <v>(prawej)</v>
      </c>
      <c r="CC35" t="str">
        <f>'Translate&amp;Prices&amp;Logo'!$O$590</f>
        <v>(lewej)</v>
      </c>
      <c r="CD35" t="str">
        <f>'Translate&amp;Prices&amp;Logo'!$O$592</f>
        <v>(prawej)</v>
      </c>
      <c r="ED35" t="s">
        <v>1802</v>
      </c>
      <c r="EE35" t="s">
        <v>1896</v>
      </c>
      <c r="ER35" t="s">
        <v>2296</v>
      </c>
      <c r="ES35" t="s">
        <v>2296</v>
      </c>
    </row>
    <row r="36" spans="1:149">
      <c r="A36" t="str">
        <f>'Translate&amp;Prices&amp;Logo'!$B$42</f>
        <v>Rocca czarny matowy - maksymalna zalecana zalecana długość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maksymalna zalecana zalecana długość profilu 2500 mm</v>
      </c>
      <c r="B39">
        <v>1</v>
      </c>
      <c r="C39" t="s">
        <v>662</v>
      </c>
      <c r="D39">
        <v>0</v>
      </c>
      <c r="AA39" t="s">
        <v>2641</v>
      </c>
      <c r="AB39" t="s">
        <v>2639</v>
      </c>
      <c r="ED39" t="s">
        <v>1744</v>
      </c>
      <c r="EE39" t="s">
        <v>1900</v>
      </c>
      <c r="ER39" t="s">
        <v>2344</v>
      </c>
      <c r="ES39" t="s">
        <v>2338</v>
      </c>
    </row>
    <row r="40" spans="1:149">
      <c r="A40" t="str">
        <f>'Translate&amp;Prices&amp;Logo'!$B$35</f>
        <v>Verona szczotkowany - maksymalna zalecana zalecana długość profilu 2500 mm</v>
      </c>
      <c r="B40">
        <v>1</v>
      </c>
      <c r="C40" t="s">
        <v>662</v>
      </c>
      <c r="D40">
        <v>0</v>
      </c>
      <c r="AA40" t="s">
        <v>2641</v>
      </c>
      <c r="AB40" t="str">
        <f>'Translate&amp;Prices&amp;Logo'!B659</f>
        <v>StrongLift_gorny</v>
      </c>
      <c r="AC40">
        <v>1</v>
      </c>
      <c r="AD40">
        <v>0</v>
      </c>
      <c r="ED40" t="s">
        <v>1745</v>
      </c>
      <c r="EE40" t="s">
        <v>1901</v>
      </c>
      <c r="ER40" t="s">
        <v>2345</v>
      </c>
      <c r="ES40" t="s">
        <v>2339</v>
      </c>
    </row>
    <row r="41" spans="1:149">
      <c r="A41" t="str">
        <f>'Translate&amp;Prices&amp;Logo'!$B$37</f>
        <v>Verona czarny matowy - maksymalna zalecana zalecana długość profilu 2500 mm</v>
      </c>
      <c r="B41">
        <v>1</v>
      </c>
      <c r="C41" t="s">
        <v>662</v>
      </c>
      <c r="D41">
        <v>0</v>
      </c>
      <c r="AB41" t="str">
        <f>'Translate&amp;Prices&amp;Logo'!B660</f>
        <v>StrongLift_dolny</v>
      </c>
      <c r="AC41">
        <v>1</v>
      </c>
      <c r="AD41">
        <v>0</v>
      </c>
      <c r="ED41" t="s">
        <v>1746</v>
      </c>
      <c r="EE41" t="s">
        <v>1902</v>
      </c>
      <c r="ER41" t="s">
        <v>2346</v>
      </c>
      <c r="ES41" t="s">
        <v>2340</v>
      </c>
    </row>
    <row r="42" spans="1:149">
      <c r="A42" t="str">
        <f>'Translate&amp;Prices&amp;Logo'!$B$36</f>
        <v>Verona czarny połysk - maksymalna zalecana zalecana długość profilu 2500 mm</v>
      </c>
      <c r="B42">
        <v>1</v>
      </c>
      <c r="C42" t="s">
        <v>662</v>
      </c>
      <c r="D42">
        <v>0</v>
      </c>
      <c r="AA42" t="s">
        <v>2207</v>
      </c>
      <c r="AB42" t="s">
        <v>1097</v>
      </c>
      <c r="ED42" t="s">
        <v>1747</v>
      </c>
      <c r="EE42" t="s">
        <v>1903</v>
      </c>
      <c r="ER42" t="s">
        <v>2347</v>
      </c>
      <c r="ES42" t="s">
        <v>2341</v>
      </c>
    </row>
    <row r="43" spans="1:149">
      <c r="A43" t="str">
        <f>'Translate&amp;Prices&amp;Logo'!$B$38</f>
        <v>Verona braz - maksymalna zalecana zalecana długość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szampański - maksymalna zalecana zalecana długość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Inox szczotkowany - maksymalna zalecana zalecana długość profilu 2500 mm</v>
      </c>
      <c r="B45">
        <v>1</v>
      </c>
      <c r="C45" t="s">
        <v>662</v>
      </c>
      <c r="D45">
        <v>0</v>
      </c>
      <c r="AB45" t="s">
        <v>1218</v>
      </c>
      <c r="AC45">
        <v>0</v>
      </c>
      <c r="AD45">
        <v>0</v>
      </c>
      <c r="ED45" t="s">
        <v>1750</v>
      </c>
      <c r="EE45" t="s">
        <v>1906</v>
      </c>
      <c r="ER45" t="s">
        <v>2366</v>
      </c>
      <c r="ES45" t="s">
        <v>2360</v>
      </c>
    </row>
    <row r="46" spans="1:149">
      <c r="A46" t="str">
        <f>'Translate&amp;Prices&amp;Logo'!$B$41</f>
        <v>Verona Inox Acier szczotkowany - maksymalna zalecana zalecana długość profilu 2500 mm</v>
      </c>
      <c r="B46">
        <v>1</v>
      </c>
      <c r="C46" t="s">
        <v>662</v>
      </c>
      <c r="D46">
        <v>0</v>
      </c>
      <c r="ED46" t="s">
        <v>1751</v>
      </c>
      <c r="EE46" t="s">
        <v>1907</v>
      </c>
      <c r="ER46" t="s">
        <v>2367</v>
      </c>
      <c r="ES46" t="s">
        <v>2361</v>
      </c>
    </row>
    <row r="47" spans="1:149">
      <c r="A47" t="str">
        <f>'Translate&amp;Prices&amp;Logo'!$B$24</f>
        <v>Verona złota - maksymalna zalecana długość profilu 2150 mm</v>
      </c>
      <c r="B47">
        <v>1</v>
      </c>
      <c r="C47" t="s">
        <v>662</v>
      </c>
      <c r="D47">
        <v>0</v>
      </c>
      <c r="ED47" t="s">
        <v>1752</v>
      </c>
      <c r="EE47" t="s">
        <v>1908</v>
      </c>
      <c r="ER47" t="s">
        <v>2368</v>
      </c>
      <c r="ES47" t="s">
        <v>2362</v>
      </c>
    </row>
    <row r="48" spans="1:149">
      <c r="A48" t="str">
        <f>'Translate&amp;Prices&amp;Logo'!$B$56</f>
        <v>Verona złota szczotkowany - maksymalna zalecana zalecana długość profilu 2150 mm</v>
      </c>
      <c r="B48">
        <v>1</v>
      </c>
      <c r="C48" t="s">
        <v>662</v>
      </c>
      <c r="D48">
        <v>0</v>
      </c>
      <c r="ED48" t="s">
        <v>1753</v>
      </c>
      <c r="EE48" t="s">
        <v>1909</v>
      </c>
      <c r="ER48" t="s">
        <v>2369</v>
      </c>
      <c r="ES48" t="s">
        <v>2363</v>
      </c>
    </row>
    <row r="49" spans="1:149">
      <c r="A49" t="str">
        <f>'Translate&amp;Prices&amp;Logo'!$B$43</f>
        <v>Vivaro (elox.) - maksymalna zalecana zalecana długość profilu 2500 mm</v>
      </c>
      <c r="B49">
        <v>2</v>
      </c>
      <c r="C49" t="s">
        <v>662</v>
      </c>
      <c r="D49">
        <v>1</v>
      </c>
      <c r="AA49" t="s">
        <v>2208</v>
      </c>
      <c r="AB49" t="s">
        <v>2210</v>
      </c>
      <c r="ED49" t="s">
        <v>1754</v>
      </c>
      <c r="EE49" t="s">
        <v>1910</v>
      </c>
      <c r="ER49" t="s">
        <v>2370</v>
      </c>
      <c r="ES49" t="s">
        <v>2364</v>
      </c>
    </row>
    <row r="50" spans="1:149">
      <c r="A50" t="str">
        <f>'Translate&amp;Prices&amp;Logo'!$B$44</f>
        <v>Vivaro czarny matowy - maksymalna zalecana zalecana długość profilu 2500 mm</v>
      </c>
      <c r="B50">
        <v>2</v>
      </c>
      <c r="C50" t="s">
        <v>662</v>
      </c>
      <c r="D50">
        <v>1</v>
      </c>
      <c r="AB50" t="s">
        <v>2515</v>
      </c>
      <c r="AC50">
        <v>0</v>
      </c>
      <c r="AD50">
        <v>0</v>
      </c>
      <c r="ED50" t="s">
        <v>1755</v>
      </c>
      <c r="EE50" t="s">
        <v>1911</v>
      </c>
      <c r="ER50" t="s">
        <v>2371</v>
      </c>
      <c r="ES50" t="s">
        <v>2365</v>
      </c>
    </row>
    <row r="51" spans="1:149">
      <c r="A51" t="str">
        <f>'Translate&amp;Prices&amp;Logo'!$B$46</f>
        <v>Vivaro INOX (stal nierdzewna) - maksymalna zalecana zalecana długość profilu 2500 mm</v>
      </c>
      <c r="B51">
        <v>2</v>
      </c>
      <c r="C51" t="s">
        <v>662</v>
      </c>
      <c r="D51">
        <v>0</v>
      </c>
      <c r="AB51" t="s">
        <v>2517</v>
      </c>
      <c r="AC51">
        <v>0</v>
      </c>
      <c r="AD51">
        <v>0</v>
      </c>
      <c r="ED51" t="s">
        <v>1756</v>
      </c>
      <c r="EE51" t="s">
        <v>1912</v>
      </c>
      <c r="ER51" t="s">
        <v>2614</v>
      </c>
      <c r="ES51" t="s">
        <v>2606</v>
      </c>
    </row>
    <row r="52" spans="1:149">
      <c r="A52" t="str">
        <f>'Translate&amp;Prices&amp;Logo'!$B$47</f>
        <v>Vivaro biały matowy RAL 9003 - maksymalna zalecana zalecana długość profilu 2500 mm</v>
      </c>
      <c r="B52">
        <v>2</v>
      </c>
      <c r="C52" t="s">
        <v>662</v>
      </c>
      <c r="D52">
        <v>0</v>
      </c>
      <c r="AB52" t="s">
        <v>2512</v>
      </c>
      <c r="AC52">
        <v>0</v>
      </c>
      <c r="AD52">
        <v>0</v>
      </c>
      <c r="ED52" t="s">
        <v>1757</v>
      </c>
      <c r="EE52" t="s">
        <v>1913</v>
      </c>
      <c r="ER52" t="s">
        <v>2615</v>
      </c>
      <c r="ES52" t="s">
        <v>2607</v>
      </c>
    </row>
    <row r="53" spans="1:149">
      <c r="A53" t="str">
        <f>'Translate&amp;Prices&amp;Logo'!$B$48</f>
        <v>Vivaro biały połysk RAL 9003 - maksymalna zalecana zalecana długość profilu 2500 mm</v>
      </c>
      <c r="B53">
        <v>2</v>
      </c>
      <c r="C53" t="s">
        <v>662</v>
      </c>
      <c r="D53">
        <v>0</v>
      </c>
      <c r="AB53" t="s">
        <v>2513</v>
      </c>
      <c r="AC53">
        <v>0</v>
      </c>
      <c r="AD53">
        <v>0</v>
      </c>
      <c r="ED53" t="s">
        <v>1758</v>
      </c>
      <c r="EE53" t="s">
        <v>1914</v>
      </c>
      <c r="ER53" t="s">
        <v>2616</v>
      </c>
      <c r="ES53" t="s">
        <v>2608</v>
      </c>
    </row>
    <row r="54" spans="1:149">
      <c r="A54" t="str">
        <f>'Translate&amp;Prices&amp;Logo'!$B$31</f>
        <v>Vivaro złota - maksymalna zalecana zalecana długość profilu 2150 mm</v>
      </c>
      <c r="B54">
        <v>2</v>
      </c>
      <c r="C54" t="s">
        <v>662</v>
      </c>
      <c r="D54">
        <v>1</v>
      </c>
      <c r="ED54" t="s">
        <v>1759</v>
      </c>
      <c r="EE54" t="s">
        <v>1915</v>
      </c>
      <c r="ER54" t="s">
        <v>2617</v>
      </c>
      <c r="ES54" t="s">
        <v>2609</v>
      </c>
    </row>
    <row r="55" spans="1:149">
      <c r="A55" t="str">
        <f>'Translate&amp;Prices&amp;Logo'!$B$57</f>
        <v>Vivaro złota szczotkowany - maksymalna zalecana zalecana długość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(lewa i prawa) + Varna elox (góra i dół)</v>
      </c>
      <c r="B60">
        <v>3</v>
      </c>
      <c r="C60" t="s">
        <v>662</v>
      </c>
      <c r="D60">
        <v>0</v>
      </c>
      <c r="AB60" t="s">
        <v>1054</v>
      </c>
      <c r="AC60">
        <v>0</v>
      </c>
      <c r="AD60">
        <v>0</v>
      </c>
      <c r="ED60" t="s">
        <v>1765</v>
      </c>
      <c r="EE60" t="s">
        <v>1921</v>
      </c>
      <c r="ER60" t="s">
        <v>2351</v>
      </c>
      <c r="ES60" t="s">
        <v>2339</v>
      </c>
    </row>
    <row r="61" spans="1:149">
      <c r="A61" t="str">
        <f>'Translate&amp;Prices&amp;Logo'!$B$81</f>
        <v>Rocca czarny (lewa i prawa) + Varna czarny (góra i dół)</v>
      </c>
      <c r="B61">
        <v>3</v>
      </c>
      <c r="C61" t="s">
        <v>662</v>
      </c>
      <c r="D61">
        <v>0</v>
      </c>
      <c r="AB61" t="s">
        <v>1056</v>
      </c>
      <c r="AC61">
        <v>0</v>
      </c>
      <c r="AD61">
        <v>0</v>
      </c>
      <c r="ED61" t="s">
        <v>1766</v>
      </c>
      <c r="EE61" t="s">
        <v>1922</v>
      </c>
      <c r="ER61" t="s">
        <v>2352</v>
      </c>
      <c r="ES61" t="s">
        <v>2340</v>
      </c>
    </row>
    <row r="62" spans="1:149">
      <c r="A62" t="str">
        <f>'Translate&amp;Prices&amp;Logo'!$B$71</f>
        <v>ROMA czarna matowa -  maksymalna zalecana długość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maksymalna zalecana długość profilu 2696 mm</v>
      </c>
      <c r="B63">
        <v>1</v>
      </c>
      <c r="C63" t="s">
        <v>662</v>
      </c>
      <c r="D63">
        <v>0</v>
      </c>
      <c r="AB63" t="s">
        <v>1059</v>
      </c>
      <c r="AC63">
        <v>0</v>
      </c>
      <c r="AD63">
        <v>0</v>
      </c>
      <c r="ED63" t="s">
        <v>1768</v>
      </c>
      <c r="EE63" t="s">
        <v>1924</v>
      </c>
      <c r="ER63" t="s">
        <v>2620</v>
      </c>
      <c r="ES63" t="s">
        <v>2604</v>
      </c>
    </row>
    <row r="64" spans="1:149">
      <c r="A64" t="str">
        <f>'Translate&amp;Prices&amp;Logo'!$B$73</f>
        <v>ROMA GRIP czarna matowa - maksymalna zalecana długość profilu 2696 mm</v>
      </c>
      <c r="B64">
        <v>1</v>
      </c>
      <c r="C64" t="s">
        <v>662</v>
      </c>
      <c r="D64">
        <v>0</v>
      </c>
      <c r="ED64" t="s">
        <v>1769</v>
      </c>
      <c r="EE64" t="s">
        <v>1925</v>
      </c>
      <c r="ER64" t="s">
        <v>2621</v>
      </c>
      <c r="ES64" t="s">
        <v>2605</v>
      </c>
    </row>
    <row r="65" spans="1:149">
      <c r="A65" t="str">
        <f>'Translate&amp;Prices&amp;Logo'!$B$74</f>
        <v>ROMA GRIP champagne mat - maksymalna zalecana długość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maksymalna zalecana długość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541"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540" priority="3" stopIfTrue="1">
      <formula>AND(COUNTIF($A$37:$A$41, A17)+COUNTIF($A$3:$A$15, A17)+COUNTIF($A$17:$A$31, A17)+COUNTIF($A$33:$A$35, A17)+COUNTIF($A$43:$A$47, A17)+COUNTIF($A$49:$A$54, A17)+COUNTIF($A$56:$A$99, A17)&gt;1,NOT(ISBLANK(A17)))</formula>
    </cfRule>
  </conditionalFormatting>
  <conditionalFormatting sqref="A34 A54 A56 A62:A65">
    <cfRule type="expression" dxfId="539" priority="2" stopIfTrue="1">
      <formula>AND(COUNTIF($A$54:$A$54, A34)+COUNTIF($A$56:$A$59, A34)+COUNTIF($A$34:$A$34, A34)&gt;1,NOT(ISBLANK(A34)))</formula>
    </cfRule>
  </conditionalFormatting>
  <conditionalFormatting sqref="A72:A99 DW346:DW347">
    <cfRule type="expression" dxfId="538" priority="651" stopIfTrue="1">
      <formula>AND(COUNTIF($A$38:$A$42, A72)+COUNTIF($A$3:$A$15, A72)+COUNTIF($A$17:$A$31, A72)+COUNTIF($A$34:$A$36, A72)+COUNTIF($A$44:$A$48, A72)+COUNTIF($A$50:$A$55, A72)+COUNTIF($A$57:$A$99, A72)&gt;1,NOT(ISBLANK(A72)))</formula>
    </cfRule>
  </conditionalFormatting>
  <conditionalFormatting sqref="F14:F19">
    <cfRule type="duplicateValues" dxfId="537" priority="17"/>
  </conditionalFormatting>
  <conditionalFormatting sqref="P2:P61 P63:P65536">
    <cfRule type="expression" dxfId="536" priority="33" stopIfTrue="1">
      <formula>AND(COUNTIF($P$63:$P$65536, P2)+COUNTIF($P$2:$P$61, P2)&gt;1,NOT(ISBLANK(P2)))</formula>
    </cfRule>
  </conditionalFormatting>
  <conditionalFormatting sqref="Q2 Q4 Q6:Q12 Q15:Q20 Q22:Q23 Q26:Q54 S27:S30 Q68:Q65536">
    <cfRule type="expression" dxfId="535" priority="43" stopIfTrue="1">
      <formula>AND(COUNTIF($Q$68:$Q$65536, Q2)+COUNTIF($Q$2:$Q$2, Q2)+COUNTIF($Q$4:$Q$4, Q2)+COUNTIF($Q$6:$Q$54, Q2)&gt;1,NOT(ISBLANK(Q2)))</formula>
    </cfRule>
  </conditionalFormatting>
  <conditionalFormatting sqref="R4:R6">
    <cfRule type="duplicateValues" dxfId="534" priority="28"/>
  </conditionalFormatting>
  <conditionalFormatting sqref="R7 R9">
    <cfRule type="duplicateValues" dxfId="533" priority="40"/>
  </conditionalFormatting>
  <conditionalFormatting sqref="R10">
    <cfRule type="duplicateValues" dxfId="532" priority="27"/>
  </conditionalFormatting>
  <conditionalFormatting sqref="R11:R18 R29:R33">
    <cfRule type="duplicateValues" dxfId="531" priority="42"/>
  </conditionalFormatting>
  <conditionalFormatting sqref="R19:R20 R37:R39 R34">
    <cfRule type="duplicateValues" dxfId="530" priority="36"/>
  </conditionalFormatting>
  <conditionalFormatting sqref="R21:R23">
    <cfRule type="duplicateValues" dxfId="529" priority="26"/>
  </conditionalFormatting>
  <conditionalFormatting sqref="R49:R55">
    <cfRule type="duplicateValues" dxfId="528" priority="29"/>
  </conditionalFormatting>
  <conditionalFormatting sqref="R49:R61 R2 R63:R65536">
    <cfRule type="expression" dxfId="527" priority="32" stopIfTrue="1">
      <formula>AND(COUNTIF($R$2:$R$2, R2)+COUNTIF($R$63:$R$65536, R2)+COUNTIF($R$49:$R$61, R2)&gt;1,NOT(ISBLANK(R2)))</formula>
    </cfRule>
  </conditionalFormatting>
  <conditionalFormatting sqref="R56:R57">
    <cfRule type="duplicateValues" dxfId="526" priority="30"/>
  </conditionalFormatting>
  <conditionalFormatting sqref="R58:R61 R63">
    <cfRule type="expression" dxfId="525" priority="34" stopIfTrue="1">
      <formula>AND(COUNTIF($R$63:$R$63, R58)+COUNTIF($R$58:$R$61, R58)&gt;1,NOT(ISBLANK(R58)))</formula>
    </cfRule>
  </conditionalFormatting>
  <conditionalFormatting sqref="S4">
    <cfRule type="duplicateValues" dxfId="524" priority="25"/>
  </conditionalFormatting>
  <conditionalFormatting sqref="S6:S8 S10">
    <cfRule type="duplicateValues" dxfId="523" priority="47"/>
  </conditionalFormatting>
  <conditionalFormatting sqref="S12:S17">
    <cfRule type="duplicateValues" dxfId="522" priority="24"/>
  </conditionalFormatting>
  <conditionalFormatting sqref="S18:S19">
    <cfRule type="duplicateValues" dxfId="521" priority="23"/>
  </conditionalFormatting>
  <conditionalFormatting sqref="S20:S26">
    <cfRule type="duplicateValues" dxfId="520" priority="41"/>
  </conditionalFormatting>
  <conditionalFormatting sqref="S31:S52">
    <cfRule type="duplicateValues" dxfId="519" priority="46"/>
  </conditionalFormatting>
  <conditionalFormatting sqref="T4">
    <cfRule type="duplicateValues" dxfId="518" priority="22"/>
  </conditionalFormatting>
  <conditionalFormatting sqref="U4:U6">
    <cfRule type="duplicateValues" dxfId="517" priority="21"/>
  </conditionalFormatting>
  <conditionalFormatting sqref="U7:U14 U26:U30">
    <cfRule type="duplicateValues" dxfId="516" priority="44"/>
  </conditionalFormatting>
  <conditionalFormatting sqref="U15:U16 U31:U32">
    <cfRule type="duplicateValues" dxfId="515" priority="37"/>
  </conditionalFormatting>
  <conditionalFormatting sqref="U17:U19">
    <cfRule type="duplicateValues" dxfId="514" priority="20"/>
  </conditionalFormatting>
  <conditionalFormatting sqref="V4:V6">
    <cfRule type="duplicateValues" dxfId="513" priority="19"/>
  </conditionalFormatting>
  <conditionalFormatting sqref="V17:V19">
    <cfRule type="duplicateValues" dxfId="512" priority="18"/>
  </conditionalFormatting>
  <conditionalFormatting sqref="V21:V30 V7:V14">
    <cfRule type="duplicateValues" dxfId="511" priority="45"/>
  </conditionalFormatting>
  <conditionalFormatting sqref="V31:V32 V15:V16">
    <cfRule type="duplicateValues" dxfId="510" priority="38"/>
  </conditionalFormatting>
  <conditionalFormatting sqref="AC4:AC13 AC15:AC23 AC29:AC34 AC40:AC41 AC43:AC45 AC50:AC53 AC60:AC63">
    <cfRule type="cellIs" dxfId="509" priority="31" operator="equal">
      <formula>1</formula>
    </cfRule>
  </conditionalFormatting>
  <conditionalFormatting sqref="BQ9:BQ10">
    <cfRule type="duplicateValues" dxfId="508" priority="15"/>
  </conditionalFormatting>
  <conditionalFormatting sqref="BQ2:BR2">
    <cfRule type="duplicateValues" dxfId="507" priority="16"/>
  </conditionalFormatting>
  <conditionalFormatting sqref="DT2:DT44">
    <cfRule type="duplicateValues" dxfId="504" priority="9"/>
  </conditionalFormatting>
  <conditionalFormatting sqref="DT2:DT570">
    <cfRule type="duplicateValues" dxfId="503" priority="4"/>
  </conditionalFormatting>
  <conditionalFormatting sqref="DT45:DT87">
    <cfRule type="duplicateValues" dxfId="502" priority="7"/>
  </conditionalFormatting>
  <conditionalFormatting sqref="DT88:DT130">
    <cfRule type="duplicateValues" dxfId="501" priority="8"/>
  </conditionalFormatting>
  <conditionalFormatting sqref="DT131:DT173">
    <cfRule type="duplicateValues" dxfId="500" priority="10"/>
  </conditionalFormatting>
  <conditionalFormatting sqref="DT174:DT217">
    <cfRule type="duplicateValues" dxfId="499" priority="11"/>
  </conditionalFormatting>
  <conditionalFormatting sqref="DT257:DT287">
    <cfRule type="duplicateValues" dxfId="498" priority="14"/>
  </conditionalFormatting>
  <conditionalFormatting sqref="DU257:DU286">
    <cfRule type="duplicateValues" dxfId="497" priority="13"/>
  </conditionalFormatting>
  <conditionalFormatting sqref="DU287">
    <cfRule type="duplicateValues" dxfId="496"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B4CBE79C-9FD3-414F-B728-0313B69BB64D}">
            <xm:f>OR(Ram_4!$AU$10=1,Ram_4!$AU$10=3)</xm:f>
            <x14:dxf>
              <fill>
                <patternFill patternType="darkDown"/>
              </fill>
            </x14:dxf>
          </x14:cfRule>
          <xm:sqref>CH13</xm:sqref>
        </x14:conditionalFormatting>
        <x14:conditionalFormatting xmlns:xm="http://schemas.microsoft.com/office/excel/2006/main">
          <x14:cfRule type="expression" priority="6" id="{406399A7-E565-4439-844C-1E42EEBB5EEC}">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"&amp;5</f>
        <v>Ramka  5</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Wprowadzenie</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IFERROR(IF(kombinace_5!FC2=TRUE,'Translate&amp;Prices&amp;Logo'!B654,IF(VLOOKUP(H8,kombinace_5!$A:$E,5,0)=3,'Translate&amp;Prices&amp;Logo'!B642,"")),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Ramka  1</v>
      </c>
      <c r="C5" s="687"/>
      <c r="D5" s="687"/>
      <c r="E5" s="163"/>
      <c r="F5" s="687" t="str">
        <f>'Translate&amp;Prices&amp;Logo'!$B$169&amp;" "&amp;" "&amp;2</f>
        <v>Ramka  2</v>
      </c>
      <c r="G5" s="687"/>
      <c r="H5" s="687"/>
      <c r="I5" s="15"/>
      <c r="J5" s="687" t="str">
        <f>'Translate&amp;Prices&amp;Logo'!$B$169&amp;" "&amp;" "&amp;3</f>
        <v>Ramka  3</v>
      </c>
      <c r="K5" s="687"/>
      <c r="L5" s="687"/>
      <c r="M5" s="15"/>
      <c r="N5" s="687" t="str">
        <f>'Translate&amp;Prices&amp;Logo'!$B$169&amp;" "&amp;" "&amp;4</f>
        <v>Ramka  4</v>
      </c>
      <c r="O5" s="687"/>
      <c r="P5" s="687"/>
      <c r="Q5" s="15"/>
      <c r="R5" s="687" t="str">
        <f>'Translate&amp;Prices&amp;Logo'!$B$169&amp;" "&amp;" "&amp;5</f>
        <v>Ramka  5</v>
      </c>
      <c r="S5" s="687"/>
      <c r="T5" s="687"/>
      <c r="U5" s="15"/>
      <c r="V5" s="687" t="str">
        <f>'Translate&amp;Prices&amp;Logo'!$B$169&amp;" "&amp;" "&amp;6</f>
        <v>Ramka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Połączenie 2 profili</v>
      </c>
      <c r="C7" s="720"/>
      <c r="D7" s="720"/>
      <c r="E7" s="720"/>
      <c r="F7" s="720"/>
      <c r="G7" s="669" t="str">
        <f>IF(kombinace_5!FC2=TRUE,AB4,"")</f>
        <v/>
      </c>
      <c r="H7" s="669"/>
      <c r="I7" s="669"/>
      <c r="J7" s="669"/>
      <c r="K7" s="669"/>
      <c r="L7" s="669"/>
      <c r="M7" s="669"/>
      <c r="N7" s="669"/>
      <c r="O7" s="669"/>
      <c r="P7" s="669"/>
      <c r="Q7" s="670"/>
      <c r="R7" s="289"/>
      <c r="S7" s="655" t="str">
        <f>'Translate&amp;Prices&amp;Logo'!$B$572</f>
        <v>Ważne informacje:</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VLOOKUP(H8,kombinace_5!$A:$B,2,0)</f>
        <v>2</v>
      </c>
      <c r="AV7" s="198" t="str">
        <f>IF(AU7=2,"Široký",IF(AU7=1,"Úzký",IF(AU7=3,"kombo")))</f>
        <v>Široký</v>
      </c>
    </row>
    <row r="8" spans="1:65" ht="45.6" customHeight="1">
      <c r="A8" s="118"/>
      <c r="B8" s="281" t="str">
        <f>'Translate&amp;Prices&amp;Logo'!$B$653</f>
        <v>Wypełnienie z siatki</v>
      </c>
      <c r="C8" s="282"/>
      <c r="D8" s="282"/>
      <c r="E8" s="283" t="str">
        <f>'Translate&amp;Prices&amp;Logo'!$B$172</f>
        <v>Rodzaj profilu</v>
      </c>
      <c r="F8" s="283"/>
      <c r="G8" s="288"/>
      <c r="H8" s="721"/>
      <c r="I8" s="721"/>
      <c r="J8" s="721"/>
      <c r="K8" s="721"/>
      <c r="L8" s="721"/>
      <c r="M8" s="721"/>
      <c r="N8" s="721"/>
      <c r="O8" s="721"/>
      <c r="P8" s="721"/>
      <c r="Q8" s="722"/>
      <c r="R8" s="290"/>
      <c r="S8" s="706">
        <f>IF(AU10&gt;0,'Translate&amp;Prices&amp;Logo'!B303,IF(H8=kombinace_5!A54,'Translate&amp;Prices&amp;Logo'!B580,0))</f>
        <v>0</v>
      </c>
      <c r="T8" s="707"/>
      <c r="U8" s="707"/>
      <c r="V8" s="707"/>
      <c r="W8" s="707"/>
      <c r="X8" s="707"/>
      <c r="Y8" s="708"/>
      <c r="Z8" s="137"/>
      <c r="AA8" s="133"/>
      <c r="AB8" s="15"/>
      <c r="AC8" s="637" t="str">
        <f>'Translate&amp;Prices&amp;Logo'!$B$242</f>
        <v>Odległość od krawędzi</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IFERROR(IF(AND(VLOOKUP(H8,kombinace_5!$A:$D,4,0)=1,kombinace_5!FC2=FALSE),'Translate&amp;Prices&amp;Logo'!$B$543,0),0)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Rozstaw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IFERROR((VLOOKUP(H12,kombinace_5!$DP$2:$DQ$3,2,0)),"")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Odległość od górnej krawędzi</v>
      </c>
      <c r="AF10" s="15"/>
      <c r="AG10" s="15"/>
      <c r="AH10" s="15"/>
      <c r="AI10" s="117"/>
      <c r="AJ10" s="118"/>
      <c r="AK10" s="15"/>
      <c r="AL10" s="15"/>
      <c r="AM10" s="15"/>
      <c r="AN10" s="15"/>
      <c r="AO10" s="15"/>
      <c r="AP10" s="134"/>
      <c r="AQ10" s="373"/>
      <c r="AR10" s="15"/>
      <c r="AS10" s="15"/>
      <c r="AT10" s="197" t="s">
        <v>1306</v>
      </c>
      <c r="AU10" s="198">
        <f>IFERROR(VLOOKUP(H9,kombinace_5!$BY$13:$BZ$15,2,0),0)</f>
        <v>0</v>
      </c>
      <c r="AV10" s="198"/>
    </row>
    <row r="11" spans="1:65" ht="18" customHeight="1">
      <c r="A11" s="118"/>
      <c r="B11" s="695" t="str">
        <f>('Translate&amp;Prices&amp;Logo'!$B$543)&amp;" "&amp;"("&amp;'Translate&amp;Prices&amp;Logo'!$B$174&amp;")"</f>
        <v>Szprosy (Ilość sztuk)</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IFERROR(IF(kombinace_5!$H$1=TRUE,BA2+AY3,0),0)</f>
        <v>0</v>
      </c>
      <c r="AU11" s="204"/>
      <c r="AV11" s="198"/>
    </row>
    <row r="12" spans="1:65" ht="18" customHeight="1">
      <c r="A12" s="118"/>
      <c r="B12" s="638" t="str">
        <f>'Translate&amp;Prices&amp;Logo'!$B$258</f>
        <v>Typ okucia</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Marka okucia</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Rozstaw  mm</v>
      </c>
      <c r="AE14" s="645"/>
      <c r="AF14" s="15"/>
      <c r="AG14" s="15"/>
      <c r="AH14" s="15"/>
      <c r="AI14" s="117"/>
      <c r="AJ14" s="118"/>
      <c r="AK14" s="15"/>
      <c r="AL14" s="15"/>
      <c r="AM14" s="682" t="str">
        <f>('Translate&amp;Prices&amp;Logo'!$B$548)&amp;" "&amp;H26&amp;" "&amp;"mm"</f>
        <v>Rozstaw  mm</v>
      </c>
      <c r="AN14" s="15"/>
      <c r="AO14" s="138"/>
      <c r="AP14" s="131"/>
      <c r="AQ14" s="373"/>
      <c r="AR14" s="729"/>
      <c r="AS14" s="15"/>
      <c r="AT14" s="204"/>
      <c r="AU14" s="198"/>
      <c r="AV14" s="198"/>
      <c r="AW14" s="223" t="s">
        <v>2322</v>
      </c>
    </row>
    <row r="15" spans="1:65" ht="18" customHeight="1" thickBot="1">
      <c r="A15" s="118"/>
      <c r="B15" s="638" t="str">
        <f>'Translate&amp;Prices&amp;Logo'!$B$545</f>
        <v>Wariant okucia</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IF(H15=kombinace_5!AB40,'Translate&amp;Prices&amp;Logo'!$B$224,IF(H15=kombinace_5!AB41,'Translate&amp;Prices&amp;Logo'!$B$224,IF(H12='závěsy dle výklopu'!BQ2,'Translate&amp;Prices&amp;Logo'!$B$222,'Translate&amp;Prices&amp;Logo'!$B$218)))</f>
        <v>Wybierz pozycję ramki</v>
      </c>
      <c r="C16" s="694"/>
      <c r="D16" s="694"/>
      <c r="E16" s="694"/>
      <c r="F16" s="692"/>
      <c r="G16" s="692"/>
      <c r="H16" s="692"/>
      <c r="I16" s="692"/>
      <c r="J16" s="712" t="str">
        <f>IF(OR(H15=kombinace_5!AB40,H15=kombinace_5!AB7,H15=kombinace_5!AB15,H15=kombinace_5!AB20,H15=kombinace_5!AB21,H15=kombinace_5!AB22),'Translate&amp;Prices&amp;Logo'!$B$226,IF(H15=kombinace_5!AB41,'Translate&amp;Prices&amp;Logo'!$B$226,'Translate&amp;Prices&amp;Logo'!$B$232))</f>
        <v>Rodzaj drugiej ramki</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IF(H12='Translate&amp;Prices&amp;Logo'!B551,'Translate&amp;Prices&amp;Logo'!B238,IF(H15=kombinace_5!AB8,'Translate&amp;Prices&amp;Logo'!B284,0))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IF(H13="Salice",VLOOKUP(H17,kombinace_5!$BY:$BZ,2,0),0)</f>
        <v>0</v>
      </c>
    </row>
    <row r="18" spans="1:52" ht="18" customHeight="1">
      <c r="A18" s="118"/>
      <c r="B18" s="638">
        <f>IFERROR(IF(VLOOKUP(H15,kombinace_5!CD:CE,2,0)=1,'Translate&amp;Prices&amp;Logo'!$B$547,0),0)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IFERROR(IF(H12='Translate&amp;Prices&amp;Logo'!B551,'Translate&amp;Prices&amp;Logo'!$B$223,IF(VLOOKUP(H15,kombinace_5!CD:CE,2,0)=1,'Translate&amp;Prices&amp;Logo'!$B$223,)),0)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Odległość od dolnej krawędzi</v>
      </c>
      <c r="AM19" s="682"/>
      <c r="AN19" s="673">
        <v>0</v>
      </c>
      <c r="AO19" s="673"/>
      <c r="AP19" s="133"/>
      <c r="AQ19" s="373"/>
      <c r="AR19" s="728" t="str">
        <f>'Translate&amp;Prices&amp;Logo'!$B$176</f>
        <v>Wysokość</v>
      </c>
      <c r="AS19" s="15"/>
      <c r="AT19" s="204"/>
      <c r="AU19" s="196">
        <f>IFERROR(IF(H12='závěsy dle výklopu'!BR2,VLOOKUP(H15,kombinace_5!$CD$3:$CF$18,3,0),IF(H12='závěsy dle výklopu'!BQ2,1,0)),0)</f>
        <v>0</v>
      </c>
      <c r="AV19" s="198">
        <f>IFERROR(VLOOKUP(H15,kombinace_5!$CD:$CF,3,0),0)</f>
        <v>0</v>
      </c>
    </row>
    <row r="20" spans="1:52" ht="18" customHeight="1">
      <c r="A20" s="118"/>
      <c r="B20" s="697">
        <f>IF(H13&lt;&gt;"Salice",(IFERROR('Translate&amp;Prices&amp;Logo'!$B$242&amp;" "&amp;(VLOOKUP(H17,kombinace_5!$BY$32:$CA$35,2,0)),0)),0)</f>
        <v>0</v>
      </c>
      <c r="C20" s="636"/>
      <c r="D20" s="636"/>
      <c r="E20" s="636"/>
      <c r="F20" s="691">
        <v>100</v>
      </c>
      <c r="G20" s="691"/>
      <c r="H20" s="691"/>
      <c r="I20" s="691"/>
      <c r="J20" s="636">
        <f>IFERROR('Translate&amp;Prices&amp;Logo'!$B$242&amp;" "&amp;(VLOOKUP(H17,kombinace_5!$BY$32:$CA$35,3,0)),0)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IF(kombinace_5!FC2=FALSE,'Translate&amp;Prices&amp;Logo'!$B$173," ")</f>
        <v>Rodzaj szkła</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Nie zmieniaj po wybraniu rodzaj szkła/siatka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VLOOKUP(H17,kombinace_5!$BY$3:$BZ$6,2,0)</f>
        <v>#N/A</v>
      </c>
      <c r="AV23" s="198"/>
    </row>
    <row r="24" spans="1:52" ht="18" customHeight="1">
      <c r="A24" s="118"/>
      <c r="B24" s="667" t="str">
        <f>'Translate&amp;Prices&amp;Logo'!$B$562</f>
        <v>Rodzaj folii</v>
      </c>
      <c r="C24" s="668"/>
      <c r="D24" s="668"/>
      <c r="E24" s="668"/>
      <c r="F24" s="668"/>
      <c r="G24" s="155"/>
      <c r="H24" s="684"/>
      <c r="I24" s="684"/>
      <c r="J24" s="684"/>
      <c r="K24" s="684"/>
      <c r="L24" s="684"/>
      <c r="M24" s="684"/>
      <c r="N24" s="684"/>
      <c r="O24" s="684"/>
      <c r="P24" s="684"/>
      <c r="Q24" s="685"/>
      <c r="R24" s="118"/>
      <c r="S24" s="655" t="str">
        <f>'Translate&amp;Prices&amp;Logo'!$B$177</f>
        <v>Uwagi (notatki)</v>
      </c>
      <c r="T24" s="655"/>
      <c r="U24" s="655"/>
      <c r="Z24" s="137"/>
      <c r="AA24" s="135"/>
      <c r="AB24" s="136"/>
      <c r="AC24" s="637" t="str">
        <f>'Translate&amp;Prices&amp;Logo'!$B$242</f>
        <v>Odległość od krawędzi</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Rodzaj szkła/siatka</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Rozstaw  mm</v>
      </c>
      <c r="AG25" s="683"/>
      <c r="AH25" s="683"/>
      <c r="AI25" s="683"/>
      <c r="AJ25" s="683"/>
      <c r="AK25" s="683"/>
      <c r="AL25" s="680"/>
      <c r="AM25" s="681"/>
      <c r="AN25" s="15"/>
      <c r="AO25" s="137"/>
      <c r="AP25" s="140"/>
      <c r="AQ25" s="373"/>
      <c r="AR25" s="15"/>
      <c r="AS25" s="15"/>
      <c r="AT25" s="204"/>
      <c r="AU25" s="198" t="e">
        <f>VLOOKUP(H27,kombinace_5!$BY:$BZ,2,0)</f>
        <v>#N/A</v>
      </c>
      <c r="AV25" s="198"/>
    </row>
    <row r="26" spans="1:52" ht="18" customHeight="1">
      <c r="A26" s="118"/>
      <c r="B26" s="638" t="str">
        <f>'Translate&amp;Prices&amp;Logo'!$B$549</f>
        <v>Rozstaw uchwytu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Umieszczenie uchwytu</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Ilość sztuk</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VLOOKUP(H14,kombinace_5!$DN$7:$DO$24,2,0)</f>
        <v>#N/A</v>
      </c>
      <c r="AB29" s="679">
        <f>IF(kombinace_5!FC2=TRUE,AB4,IF(H12='závěsy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Cena ramek</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zl</v>
      </c>
      <c r="Q30" s="657"/>
      <c r="R30" s="118"/>
      <c r="S30" s="649"/>
      <c r="T30" s="650"/>
      <c r="U30" s="650"/>
      <c r="V30" s="650"/>
      <c r="W30" s="650"/>
      <c r="X30" s="650"/>
      <c r="Y30" s="651"/>
      <c r="Z30" s="15"/>
      <c r="AA30" s="15"/>
      <c r="AB30" s="118"/>
      <c r="AC30" s="15"/>
      <c r="AD30" s="15"/>
      <c r="AE30" s="15"/>
      <c r="AF30" s="678" t="str">
        <f>'Translate&amp;Prices&amp;Logo'!$B$175</f>
        <v>Szerokość</v>
      </c>
      <c r="AG30" s="678"/>
      <c r="AH30" s="678"/>
      <c r="AI30" s="671"/>
      <c r="AJ30" s="671"/>
      <c r="AK30" s="671"/>
      <c r="AL30" s="15"/>
      <c r="AM30" s="15"/>
      <c r="AN30" s="15"/>
      <c r="AO30" s="15"/>
      <c r="AP30" s="15"/>
      <c r="AQ30" s="15"/>
      <c r="AR30" s="15"/>
      <c r="AS30" s="15"/>
      <c r="AT30" s="204"/>
      <c r="AU30" s="196" t="e">
        <f>HLOOKUP("_Úzký_dolny_K12",kombinace_5!CV2:CW19,3,FALSE)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Podsumowanie</v>
      </c>
      <c r="AP31" s="727"/>
      <c r="AQ31" s="727"/>
      <c r="AR31" s="727"/>
      <c r="AS31" s="15"/>
      <c r="AT31" s="204"/>
      <c r="AU31" s="196" t="str">
        <f>AD44</f>
        <v>_Široký_</v>
      </c>
    </row>
    <row r="32" spans="1:52" ht="17.25" customHeight="1">
      <c r="A32" s="118"/>
      <c r="B32" s="688" t="str">
        <f>'Translate&amp;Prices&amp;Logo'!$B$171</f>
        <v>Podane ceny nie zawierają podatku VAT ani nie zawierają ceny okuć!</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 xml:space="preserve">Ramki aluminiowe bez szkła dostarczane są w stanie rozmontowanym. </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IF(kombinace_5!V1=2,((AR14/1000)*(AI30/1000))*'Translate&amp;Prices&amp;Logo'!C94,0)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IF(kombinace_5!$V$1=3,IFERROR(((VLOOKUP(H24,'Translate&amp;Prices&amp;Logo'!B91:C93,2,0))*(AR14/1000)),0),0)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IF(kombinace_5!FC2=TRUE,_profily_síťka,IF(kombinace_5!H1=TRUE,_kombinovane_profily,_vše_profily))</f>
        <v>BRW (elox.) - maksymalna zalecana długość profilu 2500 mm</v>
      </c>
      <c r="L36" s="215" t="str">
        <f t="array" ref="L36:M36">IF(kombinace_5!H1=TRUE,'závěsy dle výklopu'!$BQ$2:$BR$2,
IF(H8=kombinace_5!A34,'závěsy dle výklopu'!$BQ$2,IF(H8=kombinace_5!A35,'závěsy dle výklopu'!$BQ$2,IF(H8=kombinace_5!A55,'závěsy dle výklopu'!$BQ$2,IF(H8=kombinace_5!A56,'závěsy dle výklopu'!$BQ$2,IF(H8=kombinace_5!A57,'závěsy dle výklopu'!$BQ$2,IF(H8=kombinace_5!A58,'závěsy dle výklopu'!$BQ$2,'závěsy dle výklopu'!$BQ$2:$BR$2)))))))</f>
        <v>Zawiasy</v>
      </c>
      <c r="M36" s="215" t="str">
        <v>Zawiasy</v>
      </c>
      <c r="P36" s="215" t="str" cm="1">
        <f t="array" ref="P36:P38">IF(H13=kombinace_5!BQ11,kombinace_5!$DN$2,kombinace_5!$DN$2:$DN$4)</f>
        <v>Nakładany</v>
      </c>
      <c r="T36" s="215">
        <f t="array" aca="1" ref="T36:T44" ca="1">IF(H13=kombinace_5!BQ11,
  kombinace_5!$FA$2:$FA$9,
  IF(AND(OR(H8=kombinace_5!A34,H8=kombinace_5!A35),H13='závěsy dle výklopu'!BQ4),
    INDIRECT(VLOOKUP(AD42&amp;"_Rocca",kombinace_5!$ER$1:$ES$108,2,0)),
    IF($AU$9=2,
      INDIRECT(VLOOKUP(AD42,kombinace_5!$ER$1:$ES$108,2,0)),
      IF($AU$9=3,
        INDIRECT(VLOOKUP($T$47,kombinace_5!$AA$1:$AB$100,2,0)),
      $Y$48)
    )
  )
)</f>
        <v>0</v>
      </c>
      <c r="AF36" s="215" t="e">
        <f>HLOOKUP($AD$44,'závěsy dle výklopu'!$CG$4:$EZ$10,2,0)</f>
        <v>#N/A</v>
      </c>
      <c r="AJ36" s="215">
        <f t="array" ref="AJ36:AJ40">IF(AM19&lt;2100,kombinace_5!BY8:BY12,kombinace_5!BY8:BY12)</f>
        <v>2</v>
      </c>
      <c r="AW36" s="313"/>
      <c r="AX36" s="313"/>
      <c r="AY36" s="313"/>
    </row>
    <row r="37" spans="1:58" s="215" customFormat="1" ht="15" hidden="1" customHeight="1">
      <c r="A37" s="198"/>
      <c r="B37" s="215" t="str">
        <v>BRW bialy matowy RAL 9003 - maksymalna zalecana długość profilu 2500 mm</v>
      </c>
      <c r="P37" s="215" t="str">
        <v>Półnakładany</v>
      </c>
      <c r="T37" s="215">
        <f ca="1"/>
        <v>0</v>
      </c>
      <c r="W37" s="215" t="str" cm="1">
        <f t="array" ref="W37">IF(Hlavní!$V$39=3,"",'Translate&amp;Prices&amp;Logo'!B556:B557)</f>
        <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bialy połysk RAL 9003 - maksymalna zalecana długość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Wpuszczany</v>
      </c>
      <c r="T38" s="215">
        <f ca="1"/>
        <v>0</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szczotkowany - maksymalna zalecana długość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Czarny matowy - maksymalna zalecana długość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czarna szczotka - maksymalna zalecana długość profilu 2500 mm</v>
      </c>
      <c r="L41" s="215" t="str">
        <v xml:space="preserve">Kesseböhmer </v>
      </c>
      <c r="T41" s="215">
        <f ca="1"/>
        <v>0</v>
      </c>
      <c r="U41" s="215">
        <f>IF(Hlavní!$V$39=3,1,2)</f>
        <v>1</v>
      </c>
      <c r="AE41" s="215">
        <f>AF41</f>
        <v>0</v>
      </c>
      <c r="AH41" s="339"/>
      <c r="AI41" s="340" t="s">
        <v>3692</v>
      </c>
      <c r="AJ41" s="340" t="s">
        <v>3693</v>
      </c>
      <c r="AS41" s="215" t="s">
        <v>1316</v>
      </c>
      <c r="AW41" s="313"/>
      <c r="AX41" s="313"/>
      <c r="AY41" s="313"/>
    </row>
    <row r="42" spans="1:58" s="215" customFormat="1" ht="18.600000000000001" hidden="1" customHeight="1">
      <c r="A42" s="198"/>
      <c r="B42" s="215" t="str">
        <v>BRW acier grata - maksymalna zalecana długość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antracyt RAL 7021 - maksymalna zalecana długość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maksymalna zalecana długość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maksymalna zalecana długość profilu 2500 mm</v>
      </c>
      <c r="M45" s="215" t="s">
        <v>2637</v>
      </c>
      <c r="N45" s="215" t="s">
        <v>1134</v>
      </c>
      <c r="AS45" s="191"/>
      <c r="AW45" s="313"/>
      <c r="AX45" s="313"/>
      <c r="AY45" s="313"/>
    </row>
    <row r="46" spans="1:58" s="215" customFormat="1" ht="14.85" hidden="1" customHeight="1">
      <c r="A46" s="198"/>
      <c r="B46" s="215" t="str">
        <v>BRW brąz - maksymalna zalecana długość profilu 2500 mm</v>
      </c>
      <c r="M46" s="215" t="s">
        <v>4509</v>
      </c>
    </row>
    <row r="47" spans="1:58" s="215" customFormat="1" ht="14.85" hidden="1" customHeight="1">
      <c r="A47" s="198"/>
      <c r="B47" s="215" t="str">
        <v>BRW INOX (stal nierdzewna) - maksymalna zalecana długość profilu 2500 mm</v>
      </c>
      <c r="M47" s="215" t="s">
        <v>4510</v>
      </c>
      <c r="T47" s="215" t="str">
        <f>CONCATENATE(H13,"_",VLOOKUP(kombinace_5!H1,kombinace_5!$J$14:$K$15,2,0))</f>
        <v>_2</v>
      </c>
      <c r="AI47" s="169"/>
      <c r="AJ47" s="335"/>
      <c r="AN47" s="723"/>
      <c r="AO47" s="723"/>
      <c r="AP47" s="723"/>
      <c r="AQ47" s="723"/>
    </row>
    <row r="48" spans="1:58" s="215" customFormat="1" ht="14.85" hidden="1" customHeight="1">
      <c r="A48" s="198"/>
      <c r="B48" s="215" t="str">
        <v>BRW złota- maksymalna zalecana długość profilu 2500 mm</v>
      </c>
      <c r="T48" s="215" t="e">
        <f>VLOOKUP(AD42,kombinace_5!ER:ES,2,0)</f>
        <v>#N/A</v>
      </c>
      <c r="AS48"/>
      <c r="AT48"/>
    </row>
    <row r="49" spans="1:46" s="215" customFormat="1" ht="14.85" hidden="1" customHeight="1">
      <c r="A49" s="198"/>
      <c r="B49" s="215" t="str">
        <v>BRW złota szczotkowany - maksymalna zalecana zalecana długość profilu 2500 mm</v>
      </c>
      <c r="AS49"/>
      <c r="AT49"/>
    </row>
    <row r="50" spans="1:46" s="215" customFormat="1" ht="14.85" hidden="1" customHeight="1">
      <c r="A50" s="198"/>
      <c r="B50" s="215" t="str">
        <v>Corleone (elox.)- maksymalna zalecana długość profilu 1500 mm</v>
      </c>
      <c r="AS50"/>
      <c r="AT50"/>
    </row>
    <row r="51" spans="1:46" s="215" customFormat="1" ht="14.85" hidden="1" customHeight="1">
      <c r="A51" s="198"/>
      <c r="B51" s="215" t="str">
        <v>Corleone czarny matowy - maksymalna zalecana długość profilu 1500 mm</v>
      </c>
      <c r="AS51"/>
      <c r="AT51"/>
    </row>
    <row r="52" spans="1:46" s="215" customFormat="1" ht="14.85" hidden="1" customHeight="1">
      <c r="A52" s="198"/>
      <c r="B52" s="215" t="str">
        <v>ASTI  czarne  - maksymalna zalecana długość profilu 2150</v>
      </c>
      <c r="AS52"/>
      <c r="AT52"/>
    </row>
    <row r="53" spans="1:46" s="215" customFormat="1" ht="14.85" hidden="1" customHeight="1">
      <c r="A53" s="198"/>
      <c r="B53" s="215" t="str">
        <v>ASTI  antracyt mat RAL 7021 mat lakier - maksymalna zalecana długość profilu 2500 mm</v>
      </c>
      <c r="AS53"/>
      <c r="AT53"/>
    </row>
    <row r="54" spans="1:46" s="215" customFormat="1" ht="14.85" hidden="1" customHeight="1">
      <c r="A54" s="198"/>
      <c r="B54" s="215" t="str">
        <v>Imola (elox.) - maksymalna zalecana długość profilu 2500 mm</v>
      </c>
      <c r="K54" s="215" t="str">
        <f t="array" ref="K54:K58">IF(OR($H$15=kombinace_5!AB40,$H$15=kombinace_5!AB7,$H$15=kombinace_5!AB15,$H$15=kombinace_5!AB20,$H$15=kombinace_5!AB21,$H$15=kombinace_5!AB22),'Translate&amp;Prices&amp;Logo'!$B$229:$B$231,IF($H$15=kombinace_5!AB41,'Translate&amp;Prices&amp;Logo'!$B$229:$B$231,'Translate&amp;Prices&amp;Logo'!$B$233:$B$237))</f>
        <v>Wąska ALU ramka</v>
      </c>
      <c r="T54" s="215" t="str">
        <f t="array" ref="T54:T56">kombinace_5!$EN$3:$EN$5</f>
        <v>Bez modyfikacji</v>
      </c>
      <c r="U54" s="215">
        <v>1</v>
      </c>
      <c r="X54" s="215" t="str">
        <f t="array" ref="X54:X56">kombinace_5!$X$3:$X$5</f>
        <v>transparentna</v>
      </c>
      <c r="AD54" s="215" t="str">
        <f t="array" aca="1" ref="AD54:AD97" ca="1">IF(kombinace_5!FC2=FALSE,
IF(OR(H8=kombinace_5!A17,H8=kombinace_5!A18,H8=kombinace_5!A25,H8=kombinace_5!A26,H8=kombinace_5!A27,H8=kombinace_5!A28),_corleone,INDIRECT(kombinace_5!S1)),
IF(kombinace_5!FC2=TRUE,INDIRECT(VLOOKUP(Ram_1!H8,'závěsy dle výklopu'!A81:B90,2,0)),0))</f>
        <v>Czyste</v>
      </c>
      <c r="AS54"/>
      <c r="AT54"/>
    </row>
    <row r="55" spans="1:46" s="215" customFormat="1" ht="14.85" hidden="1" customHeight="1">
      <c r="A55" s="198"/>
      <c r="B55" s="215" t="str">
        <v>Imola Czarny matowy - maksymalna zalecana długość profilu 2500 mm</v>
      </c>
      <c r="K55" s="215" t="str">
        <v>Szeroka ALU ramka</v>
      </c>
      <c r="T55" s="215" t="str">
        <v>Hartowane (termin dostawy 4 tygodnie)</v>
      </c>
      <c r="U55" s="215">
        <v>2</v>
      </c>
      <c r="X55" s="215" t="str">
        <v>Biała</v>
      </c>
      <c r="AD55" s="215" t="str">
        <f ca="1"/>
        <v xml:space="preserve">Satinato </v>
      </c>
      <c r="AS55"/>
      <c r="AT55"/>
    </row>
    <row r="56" spans="1:46" s="215" customFormat="1" ht="14.85" hidden="1" customHeight="1">
      <c r="A56" s="198"/>
      <c r="B56" s="215" t="str">
        <v>Imola bialy matowy RAL 9003 - maksymalna zalecana długość profilu 2500 mm</v>
      </c>
      <c r="K56" s="215" t="str">
        <v>MDF grubość 16mm</v>
      </c>
      <c r="T56" s="215" t="str">
        <v>Folia</v>
      </c>
      <c r="U56" s="215">
        <v>3</v>
      </c>
      <c r="X56" s="215" t="str">
        <v>czarna</v>
      </c>
      <c r="AD56" s="215" t="str">
        <f ca="1"/>
        <v xml:space="preserve">Satinato brązowe/Decormat Braz </v>
      </c>
    </row>
    <row r="57" spans="1:46" s="215" customFormat="1" ht="14.85" hidden="1" customHeight="1">
      <c r="A57" s="198"/>
      <c r="B57" s="215" t="str">
        <v>Imola złota - maksymalna zalecana zalecana długość profilu 2150 mm</v>
      </c>
      <c r="K57" s="215" t="str">
        <v>MDF grubość 18mm</v>
      </c>
      <c r="AD57" s="215" t="str">
        <f ca="1"/>
        <v xml:space="preserve">Satinato grafit  Decormat grafit </v>
      </c>
    </row>
    <row r="58" spans="1:46" s="215" customFormat="1" ht="14.85" hidden="1" customHeight="1">
      <c r="A58" s="198"/>
      <c r="B58" s="215" t="str">
        <v>Modena (elox.) - maksymalna zalecana długość profilu 2500 mm</v>
      </c>
      <c r="K58" s="215" t="str">
        <v>Płyta melaminowana grubość 18mm</v>
      </c>
      <c r="AD58" s="215" t="str">
        <f ca="1"/>
        <v xml:space="preserve">MASTER SOFT </v>
      </c>
    </row>
    <row r="59" spans="1:46" s="215" customFormat="1" ht="14.85" hidden="1" customHeight="1">
      <c r="A59" s="198"/>
      <c r="B59" s="215" t="str">
        <v>Modena Czarny matowy - maksymalna zalecana długość profilu 2500 mm</v>
      </c>
      <c r="T59" s="215">
        <f>IFERROR(VLOOKUP($H$21,$T$54:$U$56,2,0),0)</f>
        <v>0</v>
      </c>
      <c r="AD59" s="215" t="str">
        <f ca="1"/>
        <v xml:space="preserve">MASTER FLEX </v>
      </c>
    </row>
    <row r="60" spans="1:46" s="215" customFormat="1" ht="14.85" hidden="1" customHeight="1">
      <c r="A60" s="198"/>
      <c r="B60" s="215" t="str">
        <v>Modena czarna szczotka - maksymalna zalecana długość profilu 2500 mm</v>
      </c>
      <c r="K60" s="215" t="b">
        <f>K56=K61</f>
        <v>0</v>
      </c>
      <c r="AD60" s="215" t="str">
        <f ca="1"/>
        <v xml:space="preserve">Master (Carre) </v>
      </c>
    </row>
    <row r="61" spans="1:46" s="215" customFormat="1" ht="14.85" hidden="1" customHeight="1">
      <c r="A61" s="198"/>
      <c r="B61" s="215" t="str">
        <v>Modena INOX (stal nierdzewna) - maksymalna zalecana długość profilu 2500 mm</v>
      </c>
      <c r="H61" s="215" t="str">
        <f>'Translate&amp;Prices&amp;Logo'!$B$186</f>
        <v>Dolne drzwi</v>
      </c>
      <c r="K61" s="215" t="str">
        <f>'Translate&amp;Prices&amp;Logo'!$B$231</f>
        <v>2 sztuki (obydwie strony)</v>
      </c>
      <c r="AD61" s="215" t="str">
        <f ca="1"/>
        <v xml:space="preserve">Master  Ligne poziomo </v>
      </c>
    </row>
    <row r="62" spans="1:46" s="215" customFormat="1" ht="14.85" hidden="1" customHeight="1">
      <c r="A62" s="198"/>
      <c r="B62" s="215" t="str">
        <v>Pisa (elox.) - maksymalna zalecana długość profilu 2500 mm</v>
      </c>
      <c r="AD62" s="215" t="str">
        <f ca="1"/>
        <v xml:space="preserve">Master  Ligne pionowo </v>
      </c>
    </row>
    <row r="63" spans="1:46" s="215" customFormat="1" ht="14.85" hidden="1" customHeight="1">
      <c r="A63" s="198"/>
      <c r="B63" s="215" t="str">
        <v>Pisa biały matowy RAL 9003 - maksymalna zalecana zalecana długość profilu 2500 mm</v>
      </c>
      <c r="AD63" s="215" t="str">
        <f ca="1"/>
        <v xml:space="preserve">Master  Point </v>
      </c>
    </row>
    <row r="64" spans="1:46" s="215" customFormat="1" ht="14.85" hidden="1" customHeight="1">
      <c r="A64" s="198"/>
      <c r="B64" s="215" t="str">
        <v>Pisa biały połysk RAL 9003 - maksymalna zalecana zalecana długość profilu 2500 mm</v>
      </c>
      <c r="AD64" s="215" t="str">
        <f ca="1"/>
        <v>Masterscreen - maksymalne wymiary 2160 x 1650 mm</v>
      </c>
    </row>
    <row r="65" spans="1:30" s="215" customFormat="1" ht="14.85" hidden="1" customHeight="1">
      <c r="A65" s="198"/>
      <c r="B65" s="215" t="str">
        <v>Pisa Czarny matowy - maksymalna zalecana długość profilu 2500 mm</v>
      </c>
      <c r="H65" s="74" t="str">
        <f>'rozpad závěsů bez prázdn. řádků'!$K$1</f>
        <v>krzyżakowy, wkręt</v>
      </c>
      <c r="I65" s="217">
        <v>6</v>
      </c>
      <c r="J65" s="73" t="e">
        <f>VLOOKUP($H$15,'rozpad závěsů bez prázdn. řádků'!$G$2:$X$66,I65,0)</f>
        <v>#N/A</v>
      </c>
      <c r="O65" s="215" t="str">
        <f t="array" ref="O65:O71">IF($H$15=kombinace_5!$AB$40,_strong_vzpera_horni,IF($H$15=kombinace_5!$AB$41,_stronglift_klopna,IF($H$12='závěsy dle výklopu'!$BQ$2,$J$65:$J$71,'Translate&amp;Prices&amp;Logo'!$B$185:$B$186)))</f>
        <v>Górne drzwi</v>
      </c>
      <c r="AD65" s="215" t="str">
        <f ca="1"/>
        <v xml:space="preserve">Venus VG10 </v>
      </c>
    </row>
    <row r="66" spans="1:30" s="215" customFormat="1" ht="14.85" hidden="1" customHeight="1">
      <c r="A66" s="198"/>
      <c r="B66" s="215" t="str">
        <v>Pisa złota - maksymalna zalecana długość profilu 2150 mm</v>
      </c>
      <c r="H66" s="74" t="str">
        <f>'rozpad závěsů bez prázdn. řádků'!$M$1</f>
        <v>na wkręt (z mimośrodem)</v>
      </c>
      <c r="I66" s="217">
        <v>8</v>
      </c>
      <c r="J66" s="73" t="e">
        <f>VLOOKUP($H$15,'rozpad závěsů bez prázdn. řádků'!$G$2:$X$66,I66,0)</f>
        <v>#N/A</v>
      </c>
      <c r="O66" s="215" t="str">
        <v>Dolne drzwi</v>
      </c>
      <c r="AD66" s="215" t="str">
        <f ca="1"/>
        <v>Stopsol brąz - maksymalne wymiary 2250 x 1605 mm</v>
      </c>
    </row>
    <row r="67" spans="1:30" s="215" customFormat="1" ht="14.85" hidden="1" customHeight="1">
      <c r="A67" s="198"/>
      <c r="B67" s="215" t="str">
        <v>Rocca (elox.) - maksymalna zalecana zalecana długość profilu 2150 mm</v>
      </c>
      <c r="H67" s="74" t="str">
        <f>'rozpad závěsů bez prázdn. řádků'!$O$1</f>
        <v>krzyżakowy eurowkręt</v>
      </c>
      <c r="I67" s="217">
        <v>10</v>
      </c>
      <c r="J67" s="73" t="e">
        <f>VLOOKUP($H$15,'rozpad závěsů bez prázdn. řádků'!$G$2:$X$66,I67,0)</f>
        <v>#N/A</v>
      </c>
      <c r="O67" s="215" t="e">
        <v>#N/A</v>
      </c>
      <c r="AD67" s="215" t="str">
        <f ca="1"/>
        <v xml:space="preserve">Antisol brąz </v>
      </c>
    </row>
    <row r="68" spans="1:30" s="215" customFormat="1" ht="14.85" hidden="1" customHeight="1">
      <c r="A68" s="198"/>
      <c r="B68" s="215" t="str">
        <v>Rocca czarny matowy - maksymalna zalecana zalecana długość profilu 2150 mm</v>
      </c>
      <c r="H68" s="74" t="str">
        <f>'rozpad závěsů bez prázdn. řádků'!$Q$1</f>
        <v>krzyżakowy expando</v>
      </c>
      <c r="I68" s="217">
        <v>12</v>
      </c>
      <c r="J68" s="73" t="e">
        <f>VLOOKUP($H$15,'rozpad závěsů bez prázdn. řádků'!$G$2:$X$66,I68,0)</f>
        <v>#N/A</v>
      </c>
      <c r="O68" s="215" t="e">
        <v>#N/A</v>
      </c>
      <c r="AD68" s="215" t="str">
        <f ca="1"/>
        <v xml:space="preserve">Antisol grafit </v>
      </c>
    </row>
    <row r="69" spans="1:30" s="215" customFormat="1" ht="14.85" hidden="1" customHeight="1">
      <c r="A69" s="198"/>
      <c r="B69" s="215" t="str">
        <v>Verona (elox.) - maksymalna zalecana zalecana długość profilu 2500 mm</v>
      </c>
      <c r="H69" s="74" t="str">
        <f>'rozpad závěsů bez prázdn. řádků'!$S$1</f>
        <v>prosty wkręt</v>
      </c>
      <c r="I69" s="217">
        <v>14</v>
      </c>
      <c r="J69" s="73" t="e">
        <f>VLOOKUP($H$15,'rozpad závěsů bez prázdn. řádků'!$G$2:$X$66,I69,0)</f>
        <v>#N/A</v>
      </c>
      <c r="O69" s="215" t="e">
        <v>#N/A</v>
      </c>
      <c r="AD69" s="215" t="str">
        <f ca="1"/>
        <v xml:space="preserve">Lustro </v>
      </c>
    </row>
    <row r="70" spans="1:30" s="215" customFormat="1" ht="14.85" hidden="1" customHeight="1">
      <c r="A70" s="198"/>
      <c r="B70" s="215" t="str">
        <v>Verona szczotkowany - maksymalna zalecana zalecana długość profilu 2500 mm</v>
      </c>
      <c r="H70" s="74" t="str">
        <f>'rozpad závěsů bez prázdn. řádků'!$U$1</f>
        <v>prosty eurowkręt</v>
      </c>
      <c r="I70" s="217">
        <v>16</v>
      </c>
      <c r="J70" s="73" t="e">
        <f>VLOOKUP($H$15,'rozpad závěsů bez prázdn. řádků'!$G$2:$X$66,I70,0)</f>
        <v>#N/A</v>
      </c>
      <c r="O70" s="215" t="e">
        <v>#N/A</v>
      </c>
      <c r="AD70" s="215" t="str">
        <f ca="1"/>
        <v xml:space="preserve">Lustro brązowe </v>
      </c>
    </row>
    <row r="71" spans="1:30" s="215" customFormat="1" ht="14.85" hidden="1" customHeight="1">
      <c r="A71" s="198"/>
      <c r="B71" s="215" t="str">
        <v>Verona czarny matowy - maksymalna zalecana zalecana długość profilu 2500 mm</v>
      </c>
      <c r="H71" s="74" t="str">
        <f>'rozpad závěsů bez prázdn. řádků'!$W$1</f>
        <v>prosty expando</v>
      </c>
      <c r="I71" s="217">
        <v>18</v>
      </c>
      <c r="J71" s="73" t="e">
        <f>VLOOKUP($H$15,'rozpad závěsů bez prázdn. řádků'!$G$2:$X$66,I71,0)</f>
        <v>#N/A</v>
      </c>
      <c r="O71" s="215" t="e">
        <v>#N/A</v>
      </c>
      <c r="AD71" s="215" t="str">
        <f ca="1"/>
        <v xml:space="preserve">Lustro grafit </v>
      </c>
    </row>
    <row r="72" spans="1:30" s="215" customFormat="1" ht="14.85" hidden="1" customHeight="1">
      <c r="A72" s="198"/>
      <c r="B72" s="215" t="str">
        <v>Verona czarny połysk - maksymalna zalecana zalecana długość profilu 2500 mm</v>
      </c>
      <c r="AD72" s="215" t="str">
        <f ca="1"/>
        <v xml:space="preserve">VISIOSUN poziomo </v>
      </c>
    </row>
    <row r="73" spans="1:30" s="215" customFormat="1" ht="14.85" hidden="1" customHeight="1">
      <c r="A73" s="198"/>
      <c r="B73" s="215" t="str">
        <v>Verona braz - maksymalna zalecana zalecana długość profilu 2500 mm</v>
      </c>
      <c r="AD73" s="215" t="str">
        <f ca="1"/>
        <v xml:space="preserve">VISIOSUN pionowo </v>
      </c>
    </row>
    <row r="74" spans="1:30" s="215" customFormat="1" ht="14.85" hidden="1" customHeight="1">
      <c r="A74" s="198"/>
      <c r="B74" s="215" t="str">
        <v>Verona szampański - maksymalna zalecana zalecana długość profilu 2500 mm</v>
      </c>
      <c r="AD74" s="215" t="str">
        <f ca="1"/>
        <v xml:space="preserve">VISIOSUN satyna poziomo </v>
      </c>
    </row>
    <row r="75" spans="1:30" s="215" customFormat="1" ht="14.85" hidden="1" customHeight="1">
      <c r="A75" s="198"/>
      <c r="B75" s="215" t="str">
        <v>Verona Inox szczotkowany - maksymalna zalecana zalecana długość profilu 2500 mm</v>
      </c>
      <c r="AD75" s="215" t="str">
        <f ca="1"/>
        <v xml:space="preserve">VISIOSUN satyna pionowo </v>
      </c>
    </row>
    <row r="76" spans="1:30" s="215" customFormat="1" ht="14.85" hidden="1" customHeight="1">
      <c r="A76" s="198"/>
      <c r="B76" s="215" t="str">
        <v>Verona Inox Acier szczotkowany - maksymalna zalecana zalecana długość profilu 2500 mm</v>
      </c>
      <c r="AD76" s="215" t="str">
        <f ca="1"/>
        <v>Krizet - maksymalne wymiary 2130 x 1650 mm</v>
      </c>
    </row>
    <row r="77" spans="1:30" s="215" customFormat="1" ht="14.85" hidden="1" customHeight="1">
      <c r="A77" s="198"/>
      <c r="B77" s="215" t="str">
        <v>Verona złota - maksymalna zalecana długość profilu 2150 mm</v>
      </c>
      <c r="AD77" s="215" t="str">
        <f ca="1"/>
        <v xml:space="preserve">FLUTES pionowo </v>
      </c>
    </row>
    <row r="78" spans="1:30" s="215" customFormat="1" ht="14.85" hidden="1" customHeight="1">
      <c r="A78" s="198"/>
      <c r="B78" s="215" t="str">
        <v>Verona złota szczotkowany - maksymalna zalecana zalecana długość profilu 2150 mm</v>
      </c>
      <c r="AD78" s="215" t="str">
        <f ca="1"/>
        <v xml:space="preserve">FLUTES poziomo </v>
      </c>
    </row>
    <row r="79" spans="1:30" s="215" customFormat="1" ht="14.85" hidden="1" customHeight="1">
      <c r="A79" s="198"/>
      <c r="B79" s="215" t="str">
        <v>Vivaro (elox.) - maksymalna zalecana zalecana długość profilu 2500 mm</v>
      </c>
      <c r="AD79" s="215" t="str">
        <f ca="1"/>
        <v xml:space="preserve">Lakomat </v>
      </c>
    </row>
    <row r="80" spans="1:30" s="215" customFormat="1" ht="14.85" hidden="1" customHeight="1">
      <c r="A80" s="198"/>
      <c r="B80" s="215" t="str">
        <v>Vivaro czarny matowy - maksymalna zalecana zalecana długość profilu 2500 mm</v>
      </c>
      <c r="AD80" s="215" t="str">
        <f ca="1"/>
        <v xml:space="preserve">Lacobel RAL 1013 </v>
      </c>
    </row>
    <row r="81" spans="1:38" s="215" customFormat="1" ht="14.85" hidden="1" customHeight="1">
      <c r="A81" s="198"/>
      <c r="B81" s="215" t="str">
        <v>Vivaro INOX (stal nierdzewna) - maksymalna zalecana zalecana długość profilu 2500 mm</v>
      </c>
      <c r="AD81" s="215" t="str">
        <f ca="1"/>
        <v xml:space="preserve">Lacobel RAL 1015 </v>
      </c>
    </row>
    <row r="82" spans="1:38" s="215" customFormat="1" ht="14.85" hidden="1" customHeight="1">
      <c r="A82" s="198"/>
      <c r="B82" s="215" t="str">
        <v>Vivaro biały matowy RAL 9003 - maksymalna zalecana zalecana długość profilu 2500 mm</v>
      </c>
      <c r="P82" s="215" t="str">
        <f>IF(OR(H8=kombinace_1!F18,H8=kombinace_1!F19,H8=kombinace_1!A55,H8=kombinace_1!A56,H8=kombinace_1!A57,H8=kombinace_1!A58),"_2_strany",IF(H15=kombinace_1!AB8,"_ramena_HL","_4_strany"))</f>
        <v>_4_strany</v>
      </c>
      <c r="AD82" s="215" t="str">
        <f ca="1"/>
        <v xml:space="preserve">Lacobel RAL 7035 </v>
      </c>
    </row>
    <row r="83" spans="1:38" ht="14.85" hidden="1" customHeight="1">
      <c r="B83" s="196" t="str">
        <v>Vivaro biały połysk RAL 9003 - maksymalna zalecana zalecana długość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 xml:space="preserve">Lacobel RAL 9003 </v>
      </c>
      <c r="AE83" s="206"/>
      <c r="AF83" s="206"/>
      <c r="AG83" s="206"/>
      <c r="AH83" s="206"/>
      <c r="AI83" s="208"/>
      <c r="AJ83" s="208"/>
      <c r="AK83" s="208"/>
      <c r="AL83" s="208"/>
    </row>
    <row r="84" spans="1:38" ht="14.85" hidden="1" customHeight="1">
      <c r="B84" s="196" t="str">
        <v>Vivaro złota - maksymalna zalecana zalecana długość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 xml:space="preserve">Lacobel RAL 9005 </v>
      </c>
      <c r="AE84" s="206"/>
      <c r="AF84" s="206"/>
      <c r="AG84" s="206"/>
      <c r="AH84" s="206"/>
      <c r="AI84" s="208"/>
      <c r="AJ84" s="208"/>
      <c r="AK84" s="208"/>
      <c r="AL84" s="208"/>
    </row>
    <row r="85" spans="1:38" ht="14.85" hidden="1" customHeight="1">
      <c r="B85" s="196" t="str">
        <v>Vivaro złota szczotkowany - maksymalna zalecana zalecana długość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 xml:space="preserve">Lacobel RAL 9006 </v>
      </c>
      <c r="AE85" s="206"/>
      <c r="AF85" s="206"/>
      <c r="AG85" s="206"/>
      <c r="AH85" s="206"/>
      <c r="AI85" s="208"/>
      <c r="AJ85" s="208"/>
      <c r="AK85" s="208"/>
      <c r="AL85" s="208"/>
    </row>
    <row r="86" spans="1:38" ht="14.85" hidden="1" customHeight="1">
      <c r="B86" s="196" t="str">
        <v>Rocca elox (lewa i prawa) + Varna elox (góra i dół)</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 xml:space="preserve">Lacobel RAL 9007 </v>
      </c>
      <c r="AE86" s="206"/>
      <c r="AF86" s="206"/>
      <c r="AG86" s="206"/>
      <c r="AH86" s="206"/>
      <c r="AI86" s="208"/>
      <c r="AJ86" s="208"/>
      <c r="AK86" s="208"/>
      <c r="AL86" s="208"/>
    </row>
    <row r="87" spans="1:38" ht="14.85" hidden="1" customHeight="1">
      <c r="B87" s="196" t="str">
        <v>Rocca czarny (lewa i prawa) + Varna czarny (góra i dół)</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 xml:space="preserve">Lacobel RAL 9010 </v>
      </c>
      <c r="AE87" s="206"/>
      <c r="AF87" s="206"/>
      <c r="AG87" s="206"/>
      <c r="AH87" s="206"/>
      <c r="AI87" s="208"/>
      <c r="AJ87" s="208"/>
      <c r="AK87" s="208"/>
      <c r="AL87" s="208"/>
    </row>
    <row r="88" spans="1:38" ht="14.85" hidden="1" customHeight="1">
      <c r="B88" s="196" t="str">
        <v>ROMA czarna matowa -  maksymalna zalecana długość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9003 </v>
      </c>
      <c r="AE88" s="206"/>
      <c r="AF88" s="206"/>
      <c r="AG88" s="206"/>
      <c r="AH88" s="206"/>
      <c r="AI88" s="208"/>
      <c r="AJ88" s="208"/>
      <c r="AK88" s="208"/>
      <c r="AL88" s="208"/>
    </row>
    <row r="89" spans="1:38" ht="14.85" hidden="1" customHeight="1">
      <c r="B89" s="196" t="str">
        <v>ROMA champagne mat - maksymalna zalecana długość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 xml:space="preserve">Matelac RAL 9005 </v>
      </c>
      <c r="AE89" s="206"/>
      <c r="AF89" s="206"/>
      <c r="AG89" s="206"/>
      <c r="AH89" s="206"/>
      <c r="AI89" s="208"/>
      <c r="AJ89" s="208"/>
      <c r="AK89" s="208"/>
      <c r="AL89" s="208"/>
    </row>
    <row r="90" spans="1:38" ht="14.85" hidden="1" customHeight="1">
      <c r="B90" s="196" t="str">
        <v>ROMA GRIP czarna matowa - maksymalna zalecana długość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lustro bronz</v>
      </c>
      <c r="AE90" s="206"/>
      <c r="AF90" s="206"/>
      <c r="AG90" s="206"/>
      <c r="AH90" s="206"/>
      <c r="AI90" s="208"/>
      <c r="AJ90" s="208"/>
      <c r="AK90" s="208"/>
      <c r="AL90" s="208"/>
    </row>
    <row r="91" spans="1:38" ht="14.85" hidden="1" customHeight="1">
      <c r="B91" s="196" t="str">
        <v>ROMA GRIP champagne mat - maksymalna zalecana długość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lustro grafit</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lustro srebrny</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 xml:space="preserve">Moru brąz pionowo </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 xml:space="preserve">Moru grafit pionowo </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 xml:space="preserve">Moru brąz poziomo </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 xml:space="preserve">Moru grafit poziomo </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m8Lyf+LEAcAp1eUjTNcut2tjhpV+QS6/aFfGlHUH59HAkhwbBGDJ+vFp2/h1BWfq2y8HEofMGl0Gk4RtnNOp0w==" saltValue="2/1ylDdFiPdn8zlQhPqgaQ=="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95" priority="24" operator="equal">
      <formula>$A$2</formula>
    </cfRule>
  </conditionalFormatting>
  <conditionalFormatting sqref="B16:I16">
    <cfRule type="expression" dxfId="494" priority="45">
      <formula>$AU$19=0</formula>
    </cfRule>
  </conditionalFormatting>
  <conditionalFormatting sqref="B9:Q9">
    <cfRule type="expression" dxfId="493" priority="30">
      <formula>$B$9=0</formula>
    </cfRule>
  </conditionalFormatting>
  <conditionalFormatting sqref="B11:Q11">
    <cfRule type="expression" dxfId="492" priority="44">
      <formula>$AU$10=0</formula>
    </cfRule>
  </conditionalFormatting>
  <conditionalFormatting sqref="B14:Q14">
    <cfRule type="expression" dxfId="491" priority="29">
      <formula>$B$14=0</formula>
    </cfRule>
  </conditionalFormatting>
  <conditionalFormatting sqref="B17:Q17">
    <cfRule type="expression" dxfId="490" priority="28">
      <formula>$B$17=0</formula>
    </cfRule>
  </conditionalFormatting>
  <conditionalFormatting sqref="B18:Q18">
    <cfRule type="expression" dxfId="489" priority="14" stopIfTrue="1">
      <formula>$B$18=0</formula>
    </cfRule>
    <cfRule type="expression" dxfId="488" priority="17">
      <formula>$F$16=$H$61</formula>
    </cfRule>
  </conditionalFormatting>
  <conditionalFormatting sqref="B19:Q19">
    <cfRule type="expression" dxfId="487" priority="27">
      <formula>$B$19=0</formula>
    </cfRule>
  </conditionalFormatting>
  <conditionalFormatting sqref="B20:Q20">
    <cfRule type="expression" dxfId="486" priority="26">
      <formula>$B$19=0</formula>
    </cfRule>
    <cfRule type="expression" dxfId="485" priority="25">
      <formula>$B$20=0</formula>
    </cfRule>
  </conditionalFormatting>
  <conditionalFormatting sqref="B21:Q21">
    <cfRule type="expression" dxfId="484" priority="6">
      <formula>$B$21=" "</formula>
    </cfRule>
  </conditionalFormatting>
  <conditionalFormatting sqref="B24:Q24">
    <cfRule type="expression" dxfId="483" priority="19" stopIfTrue="1">
      <formula>$T$59&lt;3</formula>
    </cfRule>
  </conditionalFormatting>
  <conditionalFormatting sqref="H23">
    <cfRule type="expression" dxfId="482" priority="31">
      <formula>$H$25&gt;0</formula>
    </cfRule>
  </conditionalFormatting>
  <conditionalFormatting sqref="H10:L11">
    <cfRule type="expression" dxfId="481" priority="23">
      <formula>$AU$10=2</formula>
    </cfRule>
  </conditionalFormatting>
  <conditionalFormatting sqref="H10:Q10">
    <cfRule type="expression" dxfId="480" priority="22">
      <formula>$AU$10=0</formula>
    </cfRule>
  </conditionalFormatting>
  <conditionalFormatting sqref="H22:Q22 B22:G23">
    <cfRule type="expression" dxfId="479" priority="20">
      <formula>$AS$33=1</formula>
    </cfRule>
  </conditionalFormatting>
  <conditionalFormatting sqref="J16:M16">
    <cfRule type="expression" dxfId="478" priority="16" stopIfTrue="1">
      <formula>$K$60=TRUE</formula>
    </cfRule>
  </conditionalFormatting>
  <conditionalFormatting sqref="J16:N16">
    <cfRule type="expression" dxfId="477" priority="18" stopIfTrue="1">
      <formula>$AV$19=0</formula>
    </cfRule>
  </conditionalFormatting>
  <conditionalFormatting sqref="M10:Q11">
    <cfRule type="expression" dxfId="476" priority="21">
      <formula>$AU$10=1</formula>
    </cfRule>
  </conditionalFormatting>
  <conditionalFormatting sqref="N16:Q16">
    <cfRule type="expression" dxfId="475" priority="15" stopIfTrue="1">
      <formula>$K$60=TRUE</formula>
    </cfRule>
  </conditionalFormatting>
  <conditionalFormatting sqref="P29:Q29">
    <cfRule type="expression" dxfId="474" priority="1">
      <formula>$U$41=2</formula>
    </cfRule>
  </conditionalFormatting>
  <conditionalFormatting sqref="AA9:AA10 AA24:AA25">
    <cfRule type="expression" dxfId="473" priority="10" stopIfTrue="1">
      <formula>$AU$17=1</formula>
    </cfRule>
  </conditionalFormatting>
  <conditionalFormatting sqref="AA16:AA17">
    <cfRule type="expression" dxfId="472" priority="5" stopIfTrue="1">
      <formula>$AU$24="1_3"</formula>
    </cfRule>
  </conditionalFormatting>
  <conditionalFormatting sqref="AB6 AA6:AA7 AA27 AA28:AB28">
    <cfRule type="expression" dxfId="471" priority="4" stopIfTrue="1">
      <formula>$AV$17=1</formula>
    </cfRule>
  </conditionalFormatting>
  <conditionalFormatting sqref="AB29:AO29">
    <cfRule type="cellIs" dxfId="470" priority="2" operator="equal">
      <formula>0</formula>
    </cfRule>
  </conditionalFormatting>
  <conditionalFormatting sqref="AC6:AD6 AM6:AN6">
    <cfRule type="expression" dxfId="469" priority="12" stopIfTrue="1">
      <formula>$AU$17=3</formula>
    </cfRule>
  </conditionalFormatting>
  <conditionalFormatting sqref="AC25:AD25 AJ26:AJ27">
    <cfRule type="expression" dxfId="468" priority="39">
      <formula>$AU$25=4</formula>
    </cfRule>
  </conditionalFormatting>
  <conditionalFormatting sqref="AC28:AD28 AM28:AN28">
    <cfRule type="expression" dxfId="467" priority="11" stopIfTrue="1">
      <formula>$AU$17=4</formula>
    </cfRule>
  </conditionalFormatting>
  <conditionalFormatting sqref="AC8:AG8">
    <cfRule type="expression" dxfId="466" priority="43">
      <formula>$AU$25=3</formula>
    </cfRule>
  </conditionalFormatting>
  <conditionalFormatting sqref="AC24:AG24">
    <cfRule type="expression" dxfId="465" priority="40">
      <formula>$AU$25=4</formula>
    </cfRule>
  </conditionalFormatting>
  <conditionalFormatting sqref="AD10:AD12 AB19:AC19">
    <cfRule type="expression" dxfId="464" priority="33">
      <formula>$AU$25=1</formula>
    </cfRule>
  </conditionalFormatting>
  <conditionalFormatting sqref="AD14:AD21">
    <cfRule type="expression" dxfId="463" priority="32">
      <formula>$AU$25=1</formula>
    </cfRule>
  </conditionalFormatting>
  <conditionalFormatting sqref="AE10:AE16">
    <cfRule type="expression" dxfId="462" priority="41">
      <formula>$AU$25=1</formula>
    </cfRule>
  </conditionalFormatting>
  <conditionalFormatting sqref="AF9:AK9">
    <cfRule type="expression" dxfId="461" priority="36">
      <formula>$AU$25=3</formula>
    </cfRule>
  </conditionalFormatting>
  <conditionalFormatting sqref="AF25:AK25">
    <cfRule type="expression" dxfId="460" priority="38">
      <formula>$AU$25=4</formula>
    </cfRule>
  </conditionalFormatting>
  <conditionalFormatting sqref="AG6:AH6">
    <cfRule type="expression" dxfId="459" priority="8" stopIfTrue="1">
      <formula>$AU$24="3_3"</formula>
    </cfRule>
  </conditionalFormatting>
  <conditionalFormatting sqref="AG28:AH28">
    <cfRule type="expression" dxfId="458" priority="7" stopIfTrue="1">
      <formula>$AU$24="4_3"</formula>
    </cfRule>
  </conditionalFormatting>
  <conditionalFormatting sqref="AJ7:AJ8 AC9:AD9">
    <cfRule type="expression" dxfId="457" priority="37">
      <formula>$AU$25=3</formula>
    </cfRule>
  </conditionalFormatting>
  <conditionalFormatting sqref="AL19:AL25">
    <cfRule type="expression" dxfId="456" priority="42">
      <formula>$AU$25=2</formula>
    </cfRule>
  </conditionalFormatting>
  <conditionalFormatting sqref="AM14:AM21">
    <cfRule type="expression" dxfId="455" priority="34">
      <formula>$AU$25=2</formula>
    </cfRule>
  </conditionalFormatting>
  <conditionalFormatting sqref="AN19:AO19 AM23:AM25">
    <cfRule type="expression" dxfId="454" priority="35">
      <formula>$AU$25=2</formula>
    </cfRule>
  </conditionalFormatting>
  <conditionalFormatting sqref="AO6 AP6:AP7 AP27 AO28:AP28">
    <cfRule type="expression" dxfId="453" priority="3" stopIfTrue="1">
      <formula>$AV$17=2</formula>
    </cfRule>
  </conditionalFormatting>
  <conditionalFormatting sqref="AP9:AP10 AP24:AP25">
    <cfRule type="expression" dxfId="452" priority="9" stopIfTrue="1">
      <formula>$AU$17=2</formula>
    </cfRule>
  </conditionalFormatting>
  <conditionalFormatting sqref="AP16:AP17">
    <cfRule type="expression" dxfId="451" priority="13" stopIfTrue="1">
      <formula>$AU$24="2_3"</formula>
    </cfRule>
  </conditionalFormatting>
  <dataValidations count="20">
    <dataValidation type="whole" allowBlank="1" showInputMessage="1" showErrorMessage="1" sqref="H11:L11" xr:uid="{945109BB-0EED-45FC-B875-539F641BC890}">
      <formula1>1</formula1>
      <formula2>(AR14/100)-1</formula2>
    </dataValidation>
    <dataValidation type="whole" allowBlank="1" showInputMessage="1" showErrorMessage="1" sqref="M11:Q11" xr:uid="{2C52E1F8-E420-47EB-8FD3-22D4523AD478}">
      <formula1>1</formula1>
      <formula2>(AI30/100)-1</formula2>
    </dataValidation>
    <dataValidation type="whole" allowBlank="1" showInputMessage="1" showErrorMessage="1" errorTitle="Minimum 80 mm" sqref="F20:I20 N20:Q20" xr:uid="{6D392049-D827-481C-8B31-488CA81FD4E6}">
      <formula1>80</formula1>
      <formula2>1300</formula2>
    </dataValidation>
    <dataValidation type="whole" operator="greaterThanOrEqual" allowBlank="1" showInputMessage="1" showErrorMessage="1" sqref="H26:Q26" xr:uid="{F684EB84-86CC-4F7A-9ACD-E122ED9B6416}">
      <formula1>1</formula1>
    </dataValidation>
    <dataValidation type="list" allowBlank="1" showInputMessage="1" showErrorMessage="1" sqref="H12:Q12" xr:uid="{02ADD0B8-BBA2-43CB-BDA9-6760C440D732}">
      <formula1>$L$36:$M$36</formula1>
    </dataValidation>
    <dataValidation type="list" allowBlank="1" showInputMessage="1" showErrorMessage="1" sqref="H14:Q14" xr:uid="{968F440F-7FDE-46A3-AC2F-72A71ADE8AEE}">
      <formula1>$P$36:$P$38</formula1>
    </dataValidation>
    <dataValidation type="list" allowBlank="1" showInputMessage="1" showErrorMessage="1" sqref="H21:Q21" xr:uid="{B8685AC2-BF04-4310-883C-119429D10639}">
      <formula1>$T$54:$T$56</formula1>
    </dataValidation>
    <dataValidation type="list" allowBlank="1" showInputMessage="1" showErrorMessage="1" sqref="H24:Q24" xr:uid="{163312C4-7EF0-4CCA-A529-747C16CA4E2D}">
      <formula1>$X$54:$X$56</formula1>
    </dataValidation>
    <dataValidation type="list" allowBlank="1" showInputMessage="1" showErrorMessage="1" sqref="H19:Q19" xr:uid="{61F3A8FF-6895-4EC6-B243-7DACA4E47027}">
      <formula1>IF(H13="Salice",$AJ$36,($AJ$36:$AJ$40))</formula1>
    </dataValidation>
    <dataValidation type="list" allowBlank="1" showInputMessage="1" showErrorMessage="1" sqref="H18:Q18" xr:uid="{BCAF0817-D0A6-4778-8880-60F6AE49FCED}">
      <formula1>$AF$36:$AF$41</formula1>
    </dataValidation>
    <dataValidation type="list" allowBlank="1" showInputMessage="1" showErrorMessage="1" sqref="N16:Q16" xr:uid="{47B861ED-1D68-4C0A-ADA8-F4B78F91C1B4}">
      <formula1>$K$54:$K$58</formula1>
    </dataValidation>
    <dataValidation type="list" allowBlank="1" showInputMessage="1" showErrorMessage="1" sqref="H13:Q13" xr:uid="{5152D841-ED45-4B69-BE57-F7A66BC108B5}">
      <formula1>IF(M38="Salice",$L$38,$L$38:$L$42)</formula1>
    </dataValidation>
    <dataValidation type="list" allowBlank="1" showInputMessage="1" showErrorMessage="1" sqref="H15:Q15" xr:uid="{6847C15D-9BB6-42F0-BFD4-6C4B50087779}">
      <formula1>$T$36:$T$44</formula1>
    </dataValidation>
    <dataValidation type="list" allowBlank="1" showInputMessage="1" showErrorMessage="1" sqref="F16:I16" xr:uid="{23A75D58-5766-4F45-8C65-C37B8FC68ACF}">
      <formula1>$O$65:$O$71</formula1>
    </dataValidation>
    <dataValidation type="list" allowBlank="1" showInputMessage="1" showErrorMessage="1" sqref="H17:Q17" xr:uid="{6B78565D-9B09-44BE-AE63-DDA0DCA51813}">
      <formula1>INDIRECT($P$82)</formula1>
    </dataValidation>
    <dataValidation type="whole" operator="lessThan" showInputMessage="1" showErrorMessage="1" sqref="AI30:AK30" xr:uid="{94C640AE-C94D-4717-AB7E-EE87EE30D29F}">
      <formula1>IF(AR14&lt;AI43+1,AJ43+1,AI43+1)</formula1>
    </dataValidation>
    <dataValidation type="whole" operator="lessThan" showErrorMessage="1" sqref="AR14:AR18" xr:uid="{2F726ABC-F58E-453C-B0A3-94A112E6CB53}">
      <formula1>IF(AI30&lt;AI43+1,AJ43+1,AI43+1)</formula1>
    </dataValidation>
    <dataValidation type="list" allowBlank="1" showInputMessage="1" showErrorMessage="1" sqref="P29:Q29" xr:uid="{150F5A62-30FE-4D4A-A424-6AEC369747B9}">
      <formula1>$W$37:$W$38</formula1>
    </dataValidation>
    <dataValidation type="list" allowBlank="1" showInputMessage="1" showErrorMessage="1" sqref="H25:Q25" xr:uid="{6632D1C2-7968-4244-B153-E6AE37A422C4}">
      <formula1>$AD$54:$AD$97</formula1>
    </dataValidation>
    <dataValidation type="list" allowBlank="1" showInputMessage="1" showErrorMessage="1" sqref="H8:Q8" xr:uid="{9C7C9B8E-5071-452D-8D16-72FB65E4AFE3}">
      <formula1>B36:B91</formula1>
    </dataValidation>
  </dataValidations>
  <hyperlinks>
    <hyperlink ref="AP2:AS3" location="Hlavní!A1" display="Hlavní!A1" xr:uid="{9395252B-0B19-47D5-8350-3FD8F8946F01}"/>
    <hyperlink ref="F5:H5" location="Ram_2!A1" display="Ram_2!A1" xr:uid="{F8F2E682-951E-4183-BACB-A2EAF0BE9FCA}"/>
    <hyperlink ref="N5:P5" location="Ram_4!A1" display="Ram_4!A1" xr:uid="{BCC207E5-B6CB-49C8-9653-7BB8B54F5726}"/>
    <hyperlink ref="R5:T5" location="Ram_5!A1" display="Ram_5!A1" xr:uid="{0DF75F10-8E86-49E1-B92E-CB0C4D1EF67E}"/>
    <hyperlink ref="V5:X5" location="Ram_6!A1" display="Ram_6!A1" xr:uid="{CFB40F49-7FE0-4DEF-8521-4D86D99C5471}"/>
    <hyperlink ref="B5:D5" location="Ram_1!A1" display="Ram_1!A1" xr:uid="{6970C810-0B8C-401C-953E-689A0C4A4AFA}"/>
    <hyperlink ref="AO31:AR32" location="_souhrn!A1" display="_souhrn!A1" xr:uid="{A5CE6045-F42B-4FEC-B2C7-E062D908C5C8}"/>
    <hyperlink ref="J5:L5" location="Ram_3!A1" display="Ram_3!A1" xr:uid="{F74854AD-1432-4A2D-959B-DDC1D1897B9F}"/>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57150</xdr:colOff>
                    <xdr:row>6</xdr:row>
                    <xdr:rowOff>161925</xdr:rowOff>
                  </from>
                  <to>
                    <xdr:col>5</xdr:col>
                    <xdr:colOff>285750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DCC1A83-2A85-45B4-A3C0-A5805735FD98}">
          <x14:formula1>
            <xm:f>'závěsy dle výklopu'!$BW$2:$BW$5</xm:f>
          </x14:formula1>
          <xm:sqref>H27:Q27</xm:sqref>
        </x14:dataValidation>
        <x14:dataValidation type="list" allowBlank="1" showInputMessage="1" showErrorMessage="1" xr:uid="{2C04A6EE-DEA9-40CB-BFE8-4C1808D45A34}">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VLOOKUP(Ram_5!H8,kombinace_5!$A$3:$C$75,3,0)</f>
        <v>N</v>
      </c>
      <c r="S1" t="str">
        <f>CONCATENATE("_",R1,V1)</f>
        <v>_N1</v>
      </c>
      <c r="U1" s="231" t="s">
        <v>1082</v>
      </c>
      <c r="V1" s="2">
        <f>IFERROR(VLOOKUP(Ram_5!H21,$EN$3:$EO$5,2,0),1)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CONCATENATE("_",Ram_5!H12,"_",Ram_5!H13)</f>
        <v>__</v>
      </c>
      <c r="BV2" t="s">
        <v>1100</v>
      </c>
      <c r="BW2" t="s">
        <v>1095</v>
      </c>
      <c r="BY2" t="s">
        <v>112</v>
      </c>
      <c r="CA2" t="s">
        <v>1127</v>
      </c>
      <c r="CD2" t="s">
        <v>1202</v>
      </c>
      <c r="CF2" t="s">
        <v>1447</v>
      </c>
      <c r="DN2" t="str">
        <f>'Translate&amp;Prices&amp;Logo'!B553</f>
        <v>Nakładany</v>
      </c>
      <c r="DP2" t="str">
        <f>'Translate&amp;Prices&amp;Logo'!$B$551</f>
        <v>Zawiasy</v>
      </c>
      <c r="DQ2">
        <v>2</v>
      </c>
      <c r="ED2" t="s">
        <v>1770</v>
      </c>
      <c r="EE2" t="s">
        <v>1864</v>
      </c>
      <c r="ER2" t="s">
        <v>2278</v>
      </c>
      <c r="ES2" t="s">
        <v>2283</v>
      </c>
      <c r="EV2">
        <v>2</v>
      </c>
      <c r="EW2" t="s">
        <v>2300</v>
      </c>
      <c r="EY2" s="271" t="str">
        <f>'Translate&amp;Prices&amp;Logo'!B164</f>
        <v>siatka alu złota - oko 10x6x1 mm</v>
      </c>
      <c r="FA2" s="75" t="str">
        <f>'Translate&amp;Prices&amp;Logo'!B644</f>
        <v>520405 SALICE AIR SOFT zawiasy niklowe o kącie otwarcia 92° kpl. 2 szt</v>
      </c>
      <c r="FC2" t="b">
        <v>0</v>
      </c>
    </row>
    <row r="3" spans="1:160">
      <c r="A3" t="str">
        <f>'Translate&amp;Prices&amp;Logo'!$B$6</f>
        <v>BRW (elox.) - maksymalna zalecana długość profilu 2500 mm</v>
      </c>
      <c r="B3">
        <v>1</v>
      </c>
      <c r="C3" t="s">
        <v>662</v>
      </c>
      <c r="D3">
        <v>1</v>
      </c>
      <c r="F3" t="s">
        <v>1036</v>
      </c>
      <c r="G3" t="s">
        <v>384</v>
      </c>
      <c r="H3" t="s">
        <v>1037</v>
      </c>
      <c r="I3">
        <v>1</v>
      </c>
      <c r="J3">
        <v>2</v>
      </c>
      <c r="K3" t="s">
        <v>662</v>
      </c>
      <c r="M3" t="s">
        <v>1038</v>
      </c>
      <c r="N3" t="s">
        <v>556</v>
      </c>
      <c r="X3" t="str">
        <f>'Translate&amp;Prices&amp;Logo'!$B$563</f>
        <v>transparentna</v>
      </c>
      <c r="Y3">
        <v>1</v>
      </c>
      <c r="AA3" t="s">
        <v>2204</v>
      </c>
      <c r="AB3" t="s">
        <v>1095</v>
      </c>
      <c r="AF3" t="s">
        <v>107</v>
      </c>
      <c r="AG3" t="s">
        <v>2514</v>
      </c>
      <c r="AY3" t="s">
        <v>1070</v>
      </c>
      <c r="BK3" t="s">
        <v>107</v>
      </c>
      <c r="BU3" t="e">
        <f>VLOOKUP(BU2,BV:BW,2,0)</f>
        <v>#N/A</v>
      </c>
      <c r="BV3" t="s">
        <v>1103</v>
      </c>
      <c r="BW3" t="s">
        <v>1099</v>
      </c>
      <c r="BY3" t="str">
        <f>'Translate&amp;Prices&amp;Logo'!$B$230</f>
        <v>W lewo</v>
      </c>
      <c r="BZ3">
        <v>1</v>
      </c>
      <c r="CA3">
        <v>32</v>
      </c>
      <c r="CD3" t="s">
        <v>2511</v>
      </c>
      <c r="CE3">
        <v>1</v>
      </c>
      <c r="CF3">
        <v>1</v>
      </c>
      <c r="DN3" t="str">
        <f>IF(OR(Ram_5!$H$13&amp;Ram_5!$AU$7=Ram_5!$M$44,
Ram_5!$H$13&amp;Ram_5!$AU$7=Ram_5!$M$45,
Ram_5!$H$13&amp;Ram_5!$AU$7=Ram_5!$M$46,
Ram_5!$H$13&amp;Ram_5!$AU$7=Ram_5!$M$47),
'Translate&amp;Prices&amp;Logo'!B657,'Translate&amp;Prices&amp;Logo'!B554)</f>
        <v>Półnakładany</v>
      </c>
      <c r="DP3" t="str">
        <f>'Translate&amp;Prices&amp;Logo'!$B$552</f>
        <v>Podnośniki</v>
      </c>
      <c r="DQ3">
        <v>3</v>
      </c>
      <c r="ED3" t="s">
        <v>1771</v>
      </c>
      <c r="EE3" t="s">
        <v>1865</v>
      </c>
      <c r="EJ3">
        <v>1</v>
      </c>
      <c r="EK3" t="s">
        <v>115</v>
      </c>
      <c r="EN3" t="str">
        <f>'Translate&amp;Prices&amp;Logo'!B638</f>
        <v>Bez modyfikacji</v>
      </c>
      <c r="EO3">
        <v>1</v>
      </c>
      <c r="ER3" t="s">
        <v>2276</v>
      </c>
      <c r="ES3" t="s">
        <v>2284</v>
      </c>
      <c r="EV3">
        <v>3</v>
      </c>
      <c r="EW3" t="s">
        <v>2301</v>
      </c>
      <c r="EY3" s="271" t="str">
        <f>'Translate&amp;Prices&amp;Logo'!B165</f>
        <v>siatka stal czarny mat RAL 9005– oko 8x4x1 mm</v>
      </c>
      <c r="FA3" s="75" t="str">
        <f>'Translate&amp;Prices&amp;Logo'!B645</f>
        <v>520406 SALICE AIR PUSH TO OPEN zawiasy niklowe z zestawem adapterów 2 szt</v>
      </c>
    </row>
    <row r="4" spans="1:160">
      <c r="A4" t="str">
        <f>'Translate&amp;Prices&amp;Logo'!$B$8</f>
        <v>BRW bialy matowy RAL 9003 - maksymalna zalecana długość profilu 2500 mm</v>
      </c>
      <c r="B4">
        <v>1</v>
      </c>
      <c r="C4" t="s">
        <v>662</v>
      </c>
      <c r="D4">
        <v>0</v>
      </c>
      <c r="G4" t="s">
        <v>1037</v>
      </c>
      <c r="H4" t="s">
        <v>384</v>
      </c>
      <c r="I4">
        <v>0</v>
      </c>
      <c r="J4">
        <v>2</v>
      </c>
      <c r="K4" t="s">
        <v>662</v>
      </c>
      <c r="M4" t="s">
        <v>1041</v>
      </c>
      <c r="N4" t="s">
        <v>942</v>
      </c>
      <c r="X4" t="str">
        <f>'Translate&amp;Prices&amp;Logo'!$B$564</f>
        <v>Biała</v>
      </c>
      <c r="Y4">
        <v>2</v>
      </c>
      <c r="AA4" t="s">
        <v>1040</v>
      </c>
      <c r="AB4" t="s">
        <v>2511</v>
      </c>
      <c r="AC4">
        <v>1</v>
      </c>
      <c r="AD4">
        <v>1</v>
      </c>
      <c r="AF4" t="s">
        <v>108</v>
      </c>
      <c r="AG4" t="s">
        <v>2514</v>
      </c>
      <c r="AY4" t="s">
        <v>1070</v>
      </c>
      <c r="AZ4" t="s">
        <v>1105</v>
      </c>
      <c r="BK4" t="s">
        <v>108</v>
      </c>
      <c r="BV4" t="s">
        <v>1104</v>
      </c>
      <c r="BW4" t="s">
        <v>1098</v>
      </c>
      <c r="BY4" t="str">
        <f>'Translate&amp;Prices&amp;Logo'!$B$229</f>
        <v>W prawo</v>
      </c>
      <c r="BZ4">
        <v>2</v>
      </c>
      <c r="CA4">
        <v>64</v>
      </c>
      <c r="CD4" t="s">
        <v>2275</v>
      </c>
      <c r="CE4">
        <v>1</v>
      </c>
      <c r="CF4">
        <v>0</v>
      </c>
      <c r="DN4" t="str">
        <f>IF(OR(Ram_5!$H$13&amp;Ram_5!$AU$7=Ram_5!$M$44,
Ram_5!$H$13&amp;Ram_5!$AU$7=Ram_5!$M$45,
Ram_5!$H$13&amp;Ram_5!$AU$7=Ram_5!$M$46,
Ram_5!$H$13&amp;Ram_5!$AU$7=Ram_5!$M$47),
'Translate&amp;Prices&amp;Logo'!B657,'Translate&amp;Prices&amp;Logo'!B555)</f>
        <v>Wpuszczany</v>
      </c>
      <c r="ED4" t="s">
        <v>1772</v>
      </c>
      <c r="EE4" t="s">
        <v>1866</v>
      </c>
      <c r="EJ4">
        <v>2</v>
      </c>
      <c r="EK4" t="s">
        <v>116</v>
      </c>
      <c r="EN4" t="str">
        <f>'Translate&amp;Prices&amp;Logo'!B639</f>
        <v>Hartowane (termin dostawy 4 tygodnie)</v>
      </c>
      <c r="EO4">
        <v>2</v>
      </c>
      <c r="ER4" t="s">
        <v>2586</v>
      </c>
      <c r="ES4" t="s">
        <v>2587</v>
      </c>
      <c r="EV4">
        <v>4</v>
      </c>
      <c r="EW4" t="s">
        <v>2302</v>
      </c>
      <c r="EY4" s="271" t="str">
        <f>'Translate&amp;Prices&amp;Logo'!B166</f>
        <v>siatka stalowa biała - oko 8x4x1 mm</v>
      </c>
      <c r="FA4" s="75" t="str">
        <f>'Translate&amp;Prices&amp;Logo'!B646</f>
        <v>520407 SALICE AIR PUSH TO OPEN zawiasy niklowe z zestawem adapterów 2 szt</v>
      </c>
      <c r="FD4" s="293"/>
    </row>
    <row r="5" spans="1:160">
      <c r="A5" t="str">
        <f>'Translate&amp;Prices&amp;Logo'!$B$9</f>
        <v>BRW bialy połysk RAL 9003 - maksymalna zalecana długość profilu 2500 mm</v>
      </c>
      <c r="B5">
        <v>1</v>
      </c>
      <c r="C5" t="s">
        <v>662</v>
      </c>
      <c r="D5">
        <v>0</v>
      </c>
      <c r="F5" t="s">
        <v>1043</v>
      </c>
      <c r="G5" t="s">
        <v>383</v>
      </c>
      <c r="H5" t="s">
        <v>1037</v>
      </c>
      <c r="I5">
        <v>1</v>
      </c>
      <c r="J5">
        <v>2</v>
      </c>
      <c r="K5" t="s">
        <v>662</v>
      </c>
      <c r="M5" t="s">
        <v>1044</v>
      </c>
      <c r="N5" t="s">
        <v>558</v>
      </c>
      <c r="X5" t="str">
        <f>'Translate&amp;Prices&amp;Logo'!$B$565</f>
        <v>czarna</v>
      </c>
      <c r="Y5">
        <v>3</v>
      </c>
      <c r="AA5" t="s">
        <v>1040</v>
      </c>
      <c r="AB5" t="s">
        <v>2515</v>
      </c>
      <c r="AC5">
        <v>0</v>
      </c>
      <c r="AD5">
        <v>0</v>
      </c>
      <c r="AF5" t="s">
        <v>107</v>
      </c>
      <c r="AG5" t="s">
        <v>2516</v>
      </c>
      <c r="AY5" t="s">
        <v>1070</v>
      </c>
      <c r="AZ5" t="s">
        <v>1106</v>
      </c>
      <c r="BK5" t="s">
        <v>1047</v>
      </c>
      <c r="BV5" t="s">
        <v>2638</v>
      </c>
      <c r="BW5" t="s">
        <v>2639</v>
      </c>
      <c r="BY5" t="str">
        <f>'Translate&amp;Prices&amp;Logo'!$B$227</f>
        <v>W górę</v>
      </c>
      <c r="BZ5">
        <v>3</v>
      </c>
      <c r="CA5">
        <v>76</v>
      </c>
      <c r="CD5" t="s">
        <v>1050</v>
      </c>
      <c r="CE5">
        <v>1</v>
      </c>
      <c r="CF5">
        <v>0</v>
      </c>
      <c r="ED5" t="s">
        <v>1773</v>
      </c>
      <c r="EE5" t="s">
        <v>1867</v>
      </c>
      <c r="EJ5">
        <v>3</v>
      </c>
      <c r="EK5" t="s">
        <v>76</v>
      </c>
      <c r="EN5" t="str">
        <f>'Translate&amp;Prices&amp;Logo'!B640</f>
        <v>Folia</v>
      </c>
      <c r="EO5">
        <v>3</v>
      </c>
      <c r="ER5" t="s">
        <v>2588</v>
      </c>
      <c r="ES5" t="s">
        <v>2589</v>
      </c>
      <c r="EV5">
        <v>5</v>
      </c>
      <c r="EW5" t="s">
        <v>2300</v>
      </c>
      <c r="EY5" s="271" t="str">
        <f>'Translate&amp;Prices&amp;Logo'!B167</f>
        <v>siatka elox - oko 10x6x1 mm</v>
      </c>
      <c r="FA5" s="75" t="str">
        <f>'Translate&amp;Prices&amp;Logo'!B647</f>
        <v>520408 SALICE AIR SOFT zawiasy niklowe z zestawem adapterów 2 szt</v>
      </c>
      <c r="FD5" s="293"/>
    </row>
    <row r="6" spans="1:160">
      <c r="A6" t="str">
        <f>'Translate&amp;Prices&amp;Logo'!$B$11</f>
        <v>BRW szczotkowany - maksymalna zalecana długość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W dół</v>
      </c>
      <c r="BZ6">
        <v>4</v>
      </c>
      <c r="CA6">
        <v>96</v>
      </c>
      <c r="CD6" t="s">
        <v>1053</v>
      </c>
      <c r="CE6">
        <v>1</v>
      </c>
      <c r="CF6">
        <v>1</v>
      </c>
      <c r="ED6" t="s">
        <v>1774</v>
      </c>
      <c r="EE6" t="s">
        <v>1868</v>
      </c>
      <c r="EJ6">
        <v>4</v>
      </c>
      <c r="EK6" t="s">
        <v>77</v>
      </c>
      <c r="ER6" t="s">
        <v>2590</v>
      </c>
      <c r="ES6" t="s">
        <v>2591</v>
      </c>
      <c r="FA6" s="75" t="str">
        <f>'Translate&amp;Prices&amp;Logo'!B648</f>
        <v>520410 SALICE AIR SOFT TITANIUM  zawiasy o kącie otwarcia 92° kpl. 2 szt</v>
      </c>
    </row>
    <row r="7" spans="1:160">
      <c r="A7" t="str">
        <f>'Translate&amp;Prices&amp;Logo'!$B$12</f>
        <v>BRW Czarny matowy - maksymalna zalecana długość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zawiasy komplet 2 szt</v>
      </c>
      <c r="FD7" s="293"/>
    </row>
    <row r="8" spans="1:160">
      <c r="A8" t="str">
        <f>'Translate&amp;Prices&amp;Logo'!$B$14</f>
        <v>BRW czarna szczotka - maksymalna zalecana długość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zawiasy z zestawem adapterów 2 szt</v>
      </c>
    </row>
    <row r="9" spans="1:160">
      <c r="A9" t="str">
        <f>'Translate&amp;Prices&amp;Logo'!$B$15</f>
        <v>BRW acier grata - maksymalna zalecana długość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zawiasy z zestawem adapterów 2 szt</v>
      </c>
    </row>
    <row r="10" spans="1:160">
      <c r="A10" t="str">
        <f>'Translate&amp;Prices&amp;Logo'!$B$7</f>
        <v>BRW antracyt RAL 7021 - maksymalna zalecana długość profilu 2500 mm</v>
      </c>
      <c r="B10">
        <v>1</v>
      </c>
      <c r="C10" t="s">
        <v>662</v>
      </c>
      <c r="D10">
        <v>0</v>
      </c>
      <c r="M10" t="str">
        <f>'Translate&amp;Prices&amp;Logo'!B558</f>
        <v>Poziomo (termin dostawy 4 tygodnie)</v>
      </c>
      <c r="N10">
        <f>IF(Ram_5!$H$9=kombinace_5!M10,1,0)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maksymalna zalecana długość profilu 2500 mm</v>
      </c>
      <c r="B11">
        <v>1</v>
      </c>
      <c r="C11" t="s">
        <v>662</v>
      </c>
      <c r="D11">
        <v>0</v>
      </c>
      <c r="M11" t="str">
        <f>'Translate&amp;Prices&amp;Logo'!B559</f>
        <v>Pionowo (termin dostawy 4 tygodnie)</v>
      </c>
      <c r="N11">
        <f>IF(Ram_5!$H$9=kombinace_5!M11,2,0)</f>
        <v>0</v>
      </c>
      <c r="AC11">
        <v>0</v>
      </c>
      <c r="AD11">
        <v>0</v>
      </c>
      <c r="AF11" t="s">
        <v>107</v>
      </c>
      <c r="AG11" t="s">
        <v>1055</v>
      </c>
      <c r="AY11" t="s">
        <v>1040</v>
      </c>
      <c r="AZ11" t="s">
        <v>1111</v>
      </c>
      <c r="BQ11" s="273" t="s">
        <v>2390</v>
      </c>
      <c r="BY11">
        <v>5</v>
      </c>
      <c r="CA11">
        <v>240</v>
      </c>
      <c r="CD11" t="str">
        <f>CONCATENATE('Translate&amp;Prices&amp;Logo'!B664,"_K12")</f>
        <v>dolny_K12</v>
      </c>
      <c r="CE11">
        <v>1</v>
      </c>
      <c r="CF11">
        <v>0</v>
      </c>
      <c r="DN11" t="s">
        <v>70</v>
      </c>
      <c r="DO11" s="2" t="s">
        <v>70</v>
      </c>
      <c r="ED11" t="s">
        <v>1779</v>
      </c>
      <c r="EE11" t="s">
        <v>1873</v>
      </c>
      <c r="ER11" t="s">
        <v>2280</v>
      </c>
      <c r="ES11" t="s">
        <v>2286</v>
      </c>
      <c r="FD11" s="293"/>
    </row>
    <row r="12" spans="1:160">
      <c r="A12" t="str">
        <f>'Translate&amp;Prices&amp;Logo'!$B$70</f>
        <v>BRW champagne light - maksymalna zalecana długość profilu 2500 mm</v>
      </c>
      <c r="B12">
        <v>1</v>
      </c>
      <c r="C12" t="s">
        <v>662</v>
      </c>
      <c r="D12">
        <v>0</v>
      </c>
      <c r="M12" t="str">
        <f>'Translate&amp;Prices&amp;Logo'!B560</f>
        <v>Poziomo i pionowo (termin dostawy 4 tygodnie)</v>
      </c>
      <c r="N12">
        <f>IF(Ram_5!$H$9=kombinace_5!M12,3,0)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brąz - maksymalna zalecana długość profilu 2500 mm</v>
      </c>
      <c r="B13">
        <v>1</v>
      </c>
      <c r="C13" t="s">
        <v>662</v>
      </c>
      <c r="D13">
        <v>0</v>
      </c>
      <c r="AC13">
        <v>0</v>
      </c>
      <c r="AD13">
        <v>0</v>
      </c>
      <c r="AF13" t="s">
        <v>107</v>
      </c>
      <c r="AG13" t="s">
        <v>1058</v>
      </c>
      <c r="AY13" t="s">
        <v>1040</v>
      </c>
      <c r="AZ13" t="s">
        <v>1113</v>
      </c>
      <c r="BQ13" s="274"/>
      <c r="BR13" t="s">
        <v>1052</v>
      </c>
      <c r="BY13" t="str">
        <f>'Translate&amp;Prices&amp;Logo'!$B$558</f>
        <v>Poziomo (termin dostawy 4 tygodnie)</v>
      </c>
      <c r="BZ13">
        <v>1</v>
      </c>
      <c r="CA13">
        <v>288</v>
      </c>
      <c r="CD13" t="str">
        <f>CONCATENATE('Translate&amp;Prices&amp;Logo'!B664,"_kraby")</f>
        <v>dolny_kraby</v>
      </c>
      <c r="CE13">
        <v>1</v>
      </c>
      <c r="CF13">
        <v>0</v>
      </c>
      <c r="DN13" t="s">
        <v>222</v>
      </c>
      <c r="DO13" s="2" t="s">
        <v>69</v>
      </c>
      <c r="ED13" t="s">
        <v>2648</v>
      </c>
      <c r="EE13" t="s">
        <v>2647</v>
      </c>
      <c r="ER13" t="s">
        <v>2282</v>
      </c>
      <c r="ES13" t="s">
        <v>2282</v>
      </c>
    </row>
    <row r="14" spans="1:160">
      <c r="A14" t="str">
        <f>'Translate&amp;Prices&amp;Logo'!$B$16</f>
        <v>BRW INOX (stal nierdzewna) - maksymalna zalecana długość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Pionowo (termin dostawy 4 tygodnie)</v>
      </c>
      <c r="BZ14">
        <v>2</v>
      </c>
      <c r="CA14">
        <v>320</v>
      </c>
      <c r="CD14" t="s">
        <v>1066</v>
      </c>
      <c r="CE14">
        <v>1</v>
      </c>
      <c r="CF14">
        <v>0</v>
      </c>
      <c r="DN14" t="s">
        <v>223</v>
      </c>
      <c r="DO14" s="2" t="s">
        <v>70</v>
      </c>
      <c r="ED14" t="s">
        <v>1781</v>
      </c>
      <c r="EE14" t="s">
        <v>1875</v>
      </c>
      <c r="ER14" t="s">
        <v>2283</v>
      </c>
      <c r="ES14" t="s">
        <v>2283</v>
      </c>
    </row>
    <row r="15" spans="1:160">
      <c r="A15" t="str">
        <f>'Translate&amp;Prices&amp;Logo'!$B$13</f>
        <v>BRW złota- maksymalna zalecana długość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Poziomo i pionowo (termin dostawy 4 tygodnie)</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złota szczotkowany - maksymalna zalecana zalecana długość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StrongLift_gorny</v>
      </c>
      <c r="CE16">
        <v>1</v>
      </c>
      <c r="CF16">
        <v>1</v>
      </c>
      <c r="DN16" t="s">
        <v>286</v>
      </c>
      <c r="DO16" s="2" t="s">
        <v>69</v>
      </c>
      <c r="ED16" t="s">
        <v>1783</v>
      </c>
      <c r="EE16" t="s">
        <v>1877</v>
      </c>
      <c r="ER16" t="s">
        <v>2587</v>
      </c>
      <c r="ES16" t="s">
        <v>2587</v>
      </c>
      <c r="FD16" s="293"/>
    </row>
    <row r="17" spans="1:160">
      <c r="A17" t="str">
        <f>'Translate&amp;Prices&amp;Logo'!$B$17</f>
        <v>Corleone (elox.)- maksymalna zalecana długość profilu 1500 mm</v>
      </c>
      <c r="B17">
        <v>2</v>
      </c>
      <c r="C17" t="s">
        <v>662</v>
      </c>
      <c r="D17">
        <v>0</v>
      </c>
      <c r="E17">
        <v>3</v>
      </c>
      <c r="F17">
        <f>'Translate&amp;Prices&amp;Logo'!$B$82</f>
        <v>0</v>
      </c>
      <c r="AA17" t="s">
        <v>1052</v>
      </c>
      <c r="AB17" t="str">
        <f>IF(Ram_5!AU7=2,"FREEspace"," ")</f>
        <v>FREEspace</v>
      </c>
      <c r="AC17">
        <v>0</v>
      </c>
      <c r="AD17">
        <v>0</v>
      </c>
      <c r="AF17" t="s">
        <v>107</v>
      </c>
      <c r="AG17" t="s">
        <v>1061</v>
      </c>
      <c r="AY17" t="s">
        <v>2577</v>
      </c>
      <c r="AZ17" t="s">
        <v>2579</v>
      </c>
      <c r="CA17">
        <v>480</v>
      </c>
      <c r="CD17" t="str">
        <f>'Translate&amp;Prices&amp;Logo'!B660</f>
        <v>StrongLift_dolny</v>
      </c>
      <c r="CE17">
        <v>1</v>
      </c>
      <c r="CF17">
        <v>1</v>
      </c>
      <c r="DN17" t="s">
        <v>1363</v>
      </c>
      <c r="DO17" s="2" t="s">
        <v>70</v>
      </c>
      <c r="ED17" t="s">
        <v>1784</v>
      </c>
      <c r="EE17" t="s">
        <v>1878</v>
      </c>
      <c r="ER17" t="s">
        <v>2589</v>
      </c>
      <c r="ES17" t="s">
        <v>2589</v>
      </c>
      <c r="FD17" s="293"/>
    </row>
    <row r="18" spans="1:160">
      <c r="A18" t="str">
        <f>'Translate&amp;Prices&amp;Logo'!$B$18</f>
        <v>Corleone czarny matowy - maksymalna zalecana długość profilu 1500 mm</v>
      </c>
      <c r="B18">
        <v>2</v>
      </c>
      <c r="C18" t="s">
        <v>662</v>
      </c>
      <c r="D18">
        <v>0</v>
      </c>
      <c r="E18">
        <v>3</v>
      </c>
      <c r="F18" t="str">
        <f>'Translate&amp;Prices&amp;Logo'!$B$80</f>
        <v>Rocca elox (lewa i prawa) + Varna elox (góra i dół)</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czarne  - maksymalna zalecana długość profilu 2150</v>
      </c>
      <c r="B19">
        <v>1</v>
      </c>
      <c r="C19" t="s">
        <v>1084</v>
      </c>
      <c r="D19">
        <v>0</v>
      </c>
      <c r="F19" t="str">
        <f>'Translate&amp;Prices&amp;Logo'!$B$81</f>
        <v>Rocca czarny (lewa i prawa) + Varna czarny (góra i dół)</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antracyt mat RAL 7021 mat lakier - maksymalna zalecana długość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maksymalna zalecana długość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Czarny matowy - maksymalna zalecana długość profilu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bialy matowy RAL 9003 - maksymalna zalecana długość profilu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złota - maksymalna zalecana zalecana długość profilu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maksymalna zalecana długość profilu 2500 mm</v>
      </c>
      <c r="B25">
        <v>2</v>
      </c>
      <c r="C25" t="s">
        <v>662</v>
      </c>
      <c r="D25">
        <v>0</v>
      </c>
      <c r="AF25" t="s">
        <v>107</v>
      </c>
      <c r="AG25" t="s">
        <v>1066</v>
      </c>
      <c r="BY25">
        <v>8</v>
      </c>
      <c r="ED25" t="s">
        <v>1792</v>
      </c>
      <c r="EE25" t="s">
        <v>1886</v>
      </c>
      <c r="ER25" t="s">
        <v>2292</v>
      </c>
      <c r="ES25" t="s">
        <v>2292</v>
      </c>
    </row>
    <row r="26" spans="1:160">
      <c r="A26" t="str">
        <f>'Translate&amp;Prices&amp;Logo'!$B$23</f>
        <v>Modena Czarny matowy - maksymalna zalecana długość profilu 2500 mm</v>
      </c>
      <c r="B26">
        <v>2</v>
      </c>
      <c r="C26" t="s">
        <v>662</v>
      </c>
      <c r="D26">
        <v>0</v>
      </c>
      <c r="AF26" t="s">
        <v>108</v>
      </c>
      <c r="AG26" t="s">
        <v>1066</v>
      </c>
      <c r="BY26">
        <v>9</v>
      </c>
      <c r="ED26" t="s">
        <v>1793</v>
      </c>
      <c r="EE26" t="s">
        <v>1887</v>
      </c>
      <c r="ER26" t="s">
        <v>2293</v>
      </c>
      <c r="ES26" t="s">
        <v>2293</v>
      </c>
    </row>
    <row r="27" spans="1:160">
      <c r="A27" t="str">
        <f>'Translate&amp;Prices&amp;Logo'!$B$25</f>
        <v>Modena czarna szczotka - maksymalna zalecana długość profilu 2500 mm</v>
      </c>
      <c r="B27">
        <v>2</v>
      </c>
      <c r="C27" t="s">
        <v>662</v>
      </c>
      <c r="D27">
        <v>0</v>
      </c>
      <c r="AF27" t="s">
        <v>107</v>
      </c>
      <c r="AG27" t="s">
        <v>1067</v>
      </c>
      <c r="BY27">
        <v>10</v>
      </c>
      <c r="ED27" t="s">
        <v>1794</v>
      </c>
      <c r="EE27" t="s">
        <v>1888</v>
      </c>
      <c r="ER27" t="s">
        <v>2294</v>
      </c>
      <c r="ES27" t="s">
        <v>2294</v>
      </c>
    </row>
    <row r="28" spans="1:160">
      <c r="A28" t="str">
        <f>'Translate&amp;Prices&amp;Logo'!$B$26</f>
        <v>Modena INOX (stal nierdzewna) - maksymalna zalecana długość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dolny_K12</v>
      </c>
      <c r="AC30">
        <v>1</v>
      </c>
      <c r="AD30">
        <v>0</v>
      </c>
      <c r="AF30" t="s">
        <v>108</v>
      </c>
      <c r="AG30" t="s">
        <v>1068</v>
      </c>
      <c r="ED30" t="s">
        <v>1797</v>
      </c>
      <c r="EE30" t="s">
        <v>1891</v>
      </c>
      <c r="ER30" t="s">
        <v>2600</v>
      </c>
      <c r="ES30" t="s">
        <v>2600</v>
      </c>
    </row>
    <row r="31" spans="1:160">
      <c r="A31" t="str">
        <f>'Translate&amp;Prices&amp;Logo'!$B$29</f>
        <v>Pisa (elox.) - maksymalna zalecana długość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biały połysk RAL 9003 - maksymalna zalecana zalecana długość profilu 2500 mm</v>
      </c>
      <c r="B32">
        <v>2</v>
      </c>
      <c r="C32" t="s">
        <v>1084</v>
      </c>
      <c r="D32">
        <v>0</v>
      </c>
      <c r="AA32" t="s">
        <v>1062</v>
      </c>
      <c r="AB32" t="str">
        <f>CONCATENATE('Translate&amp;Prices&amp;Logo'!B664,"_kraby")</f>
        <v>dolny_kraby</v>
      </c>
      <c r="AC32">
        <v>1</v>
      </c>
      <c r="AD32">
        <v>0</v>
      </c>
      <c r="AF32" t="s">
        <v>108</v>
      </c>
      <c r="AG32" t="s">
        <v>1069</v>
      </c>
      <c r="BY32" t="str">
        <f>'Translate&amp;Prices&amp;Logo'!$B$230</f>
        <v>W lewo</v>
      </c>
      <c r="BZ32" t="str">
        <f>'Translate&amp;Prices&amp;Logo'!$B$589</f>
        <v>(dolnej)</v>
      </c>
      <c r="CA32" t="str">
        <f>'Translate&amp;Prices&amp;Logo'!$B$591</f>
        <v>(górnej)</v>
      </c>
      <c r="CC32" t="str">
        <f>'Translate&amp;Prices&amp;Logo'!$O$589</f>
        <v>(dolnej)</v>
      </c>
      <c r="CD32" t="str">
        <f>'Translate&amp;Prices&amp;Logo'!$O$591</f>
        <v>(górnej)</v>
      </c>
      <c r="ED32" t="s">
        <v>1799</v>
      </c>
      <c r="EE32" t="s">
        <v>1893</v>
      </c>
      <c r="ER32" t="s">
        <v>2602</v>
      </c>
      <c r="ES32" t="s">
        <v>2602</v>
      </c>
    </row>
    <row r="33" spans="1:149">
      <c r="A33" t="str">
        <f>'Translate&amp;Prices&amp;Logo'!$B$30</f>
        <v>Pisa Czarny matowy - maksymalna zalecana długość profilu 2500 mm</v>
      </c>
      <c r="B33">
        <v>2</v>
      </c>
      <c r="C33" t="s">
        <v>1084</v>
      </c>
      <c r="D33">
        <v>0</v>
      </c>
      <c r="AA33" t="s">
        <v>1062</v>
      </c>
      <c r="AB33" t="s">
        <v>1066</v>
      </c>
      <c r="AC33">
        <v>1</v>
      </c>
      <c r="AD33">
        <v>0</v>
      </c>
      <c r="AF33" t="s">
        <v>107</v>
      </c>
      <c r="AG33" t="s">
        <v>1071</v>
      </c>
      <c r="BY33" t="str">
        <f>'Translate&amp;Prices&amp;Logo'!$B$229</f>
        <v>W prawo</v>
      </c>
      <c r="BZ33" t="str">
        <f>'Translate&amp;Prices&amp;Logo'!$B$589</f>
        <v>(dolnej)</v>
      </c>
      <c r="CA33" t="str">
        <f>'Translate&amp;Prices&amp;Logo'!$B$591</f>
        <v>(górnej)</v>
      </c>
      <c r="CC33" t="str">
        <f>'Translate&amp;Prices&amp;Logo'!$O$589</f>
        <v>(dolnej)</v>
      </c>
      <c r="CD33" t="str">
        <f>'Translate&amp;Prices&amp;Logo'!$O$591</f>
        <v>(górnej)</v>
      </c>
      <c r="ED33" t="s">
        <v>1800</v>
      </c>
      <c r="EE33" t="s">
        <v>1894</v>
      </c>
      <c r="ER33" t="s">
        <v>2603</v>
      </c>
      <c r="ES33" t="s">
        <v>2603</v>
      </c>
    </row>
    <row r="34" spans="1:149">
      <c r="A34" t="str">
        <f>'Translate&amp;Prices&amp;Logo'!$B$58</f>
        <v>Pisa złota - maksymalna zalecana długość profilu 2150 mm</v>
      </c>
      <c r="B34">
        <v>2</v>
      </c>
      <c r="C34" t="s">
        <v>1084</v>
      </c>
      <c r="D34">
        <v>0</v>
      </c>
      <c r="AB34" t="s">
        <v>1067</v>
      </c>
      <c r="AC34">
        <v>1</v>
      </c>
      <c r="AD34">
        <v>0</v>
      </c>
      <c r="AF34" t="s">
        <v>108</v>
      </c>
      <c r="AG34" t="s">
        <v>1071</v>
      </c>
      <c r="BY34" t="str">
        <f>'Translate&amp;Prices&amp;Logo'!$B$227</f>
        <v>W górę</v>
      </c>
      <c r="BZ34" t="str">
        <f>'Translate&amp;Prices&amp;Logo'!$B$590</f>
        <v>(lewej)</v>
      </c>
      <c r="CA34" t="str">
        <f>'Translate&amp;Prices&amp;Logo'!$B$592</f>
        <v>(prawej)</v>
      </c>
      <c r="CC34" t="str">
        <f>'Translate&amp;Prices&amp;Logo'!$O$590</f>
        <v>(lewej)</v>
      </c>
      <c r="CD34" t="str">
        <f>'Translate&amp;Prices&amp;Logo'!$O$592</f>
        <v>(prawej)</v>
      </c>
      <c r="ED34" t="s">
        <v>1801</v>
      </c>
      <c r="EE34" t="s">
        <v>1895</v>
      </c>
      <c r="ER34" t="s">
        <v>2295</v>
      </c>
      <c r="ES34" t="s">
        <v>2295</v>
      </c>
    </row>
    <row r="35" spans="1:149">
      <c r="A35" t="str">
        <f>'Translate&amp;Prices&amp;Logo'!$B$50</f>
        <v>Rocca (elox.) - maksymalna zalecana zalecana długość profilu 2150 mm</v>
      </c>
      <c r="B35">
        <v>1</v>
      </c>
      <c r="C35" t="s">
        <v>662</v>
      </c>
      <c r="D35">
        <v>0</v>
      </c>
      <c r="BY35" t="str">
        <f>'Translate&amp;Prices&amp;Logo'!$B$228</f>
        <v>W dół</v>
      </c>
      <c r="BZ35" t="str">
        <f>'Translate&amp;Prices&amp;Logo'!$B$590</f>
        <v>(lewej)</v>
      </c>
      <c r="CA35" t="str">
        <f>'Translate&amp;Prices&amp;Logo'!$B$592</f>
        <v>(prawej)</v>
      </c>
      <c r="CC35" t="str">
        <f>'Translate&amp;Prices&amp;Logo'!$O$590</f>
        <v>(lewej)</v>
      </c>
      <c r="CD35" t="str">
        <f>'Translate&amp;Prices&amp;Logo'!$O$592</f>
        <v>(prawej)</v>
      </c>
      <c r="ED35" t="s">
        <v>1802</v>
      </c>
      <c r="EE35" t="s">
        <v>1896</v>
      </c>
      <c r="ER35" t="s">
        <v>2296</v>
      </c>
      <c r="ES35" t="s">
        <v>2296</v>
      </c>
    </row>
    <row r="36" spans="1:149">
      <c r="A36" t="str">
        <f>'Translate&amp;Prices&amp;Logo'!$B$42</f>
        <v>Rocca czarny matowy - maksymalna zalecana zalecana długość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maksymalna zalecana zalecana długość profilu 2500 mm</v>
      </c>
      <c r="B39">
        <v>1</v>
      </c>
      <c r="C39" t="s">
        <v>662</v>
      </c>
      <c r="D39">
        <v>0</v>
      </c>
      <c r="AA39" t="s">
        <v>2641</v>
      </c>
      <c r="AB39" t="s">
        <v>2639</v>
      </c>
      <c r="ED39" t="s">
        <v>1744</v>
      </c>
      <c r="EE39" t="s">
        <v>1900</v>
      </c>
      <c r="ER39" t="s">
        <v>2344</v>
      </c>
      <c r="ES39" t="s">
        <v>2338</v>
      </c>
    </row>
    <row r="40" spans="1:149">
      <c r="A40" t="str">
        <f>'Translate&amp;Prices&amp;Logo'!$B$35</f>
        <v>Verona szczotkowany - maksymalna zalecana zalecana długość profilu 2500 mm</v>
      </c>
      <c r="B40">
        <v>1</v>
      </c>
      <c r="C40" t="s">
        <v>662</v>
      </c>
      <c r="D40">
        <v>0</v>
      </c>
      <c r="AA40" t="s">
        <v>2641</v>
      </c>
      <c r="AB40" t="str">
        <f>'Translate&amp;Prices&amp;Logo'!B659</f>
        <v>StrongLift_gorny</v>
      </c>
      <c r="AC40">
        <v>1</v>
      </c>
      <c r="AD40">
        <v>0</v>
      </c>
      <c r="ED40" t="s">
        <v>1745</v>
      </c>
      <c r="EE40" t="s">
        <v>1901</v>
      </c>
      <c r="ER40" t="s">
        <v>2345</v>
      </c>
      <c r="ES40" t="s">
        <v>2339</v>
      </c>
    </row>
    <row r="41" spans="1:149">
      <c r="A41" t="str">
        <f>'Translate&amp;Prices&amp;Logo'!$B$37</f>
        <v>Verona czarny matowy - maksymalna zalecana zalecana długość profilu 2500 mm</v>
      </c>
      <c r="B41">
        <v>1</v>
      </c>
      <c r="C41" t="s">
        <v>662</v>
      </c>
      <c r="D41">
        <v>0</v>
      </c>
      <c r="AB41" t="str">
        <f>'Translate&amp;Prices&amp;Logo'!B660</f>
        <v>StrongLift_dolny</v>
      </c>
      <c r="AC41">
        <v>1</v>
      </c>
      <c r="AD41">
        <v>0</v>
      </c>
      <c r="ED41" t="s">
        <v>1746</v>
      </c>
      <c r="EE41" t="s">
        <v>1902</v>
      </c>
      <c r="ER41" t="s">
        <v>2346</v>
      </c>
      <c r="ES41" t="s">
        <v>2340</v>
      </c>
    </row>
    <row r="42" spans="1:149">
      <c r="A42" t="str">
        <f>'Translate&amp;Prices&amp;Logo'!$B$36</f>
        <v>Verona czarny połysk - maksymalna zalecana zalecana długość profilu 2500 mm</v>
      </c>
      <c r="B42">
        <v>1</v>
      </c>
      <c r="C42" t="s">
        <v>662</v>
      </c>
      <c r="D42">
        <v>0</v>
      </c>
      <c r="AA42" t="s">
        <v>2207</v>
      </c>
      <c r="AB42" t="s">
        <v>1097</v>
      </c>
      <c r="ED42" t="s">
        <v>1747</v>
      </c>
      <c r="EE42" t="s">
        <v>1903</v>
      </c>
      <c r="ER42" t="s">
        <v>2347</v>
      </c>
      <c r="ES42" t="s">
        <v>2341</v>
      </c>
    </row>
    <row r="43" spans="1:149">
      <c r="A43" t="str">
        <f>'Translate&amp;Prices&amp;Logo'!$B$38</f>
        <v>Verona braz - maksymalna zalecana zalecana długość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szampański - maksymalna zalecana zalecana długość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Inox szczotkowany - maksymalna zalecana zalecana długość profilu 2500 mm</v>
      </c>
      <c r="B45">
        <v>1</v>
      </c>
      <c r="C45" t="s">
        <v>662</v>
      </c>
      <c r="D45">
        <v>0</v>
      </c>
      <c r="AB45" t="s">
        <v>1218</v>
      </c>
      <c r="AC45">
        <v>0</v>
      </c>
      <c r="AD45">
        <v>0</v>
      </c>
      <c r="ED45" t="s">
        <v>1750</v>
      </c>
      <c r="EE45" t="s">
        <v>1906</v>
      </c>
      <c r="ER45" t="s">
        <v>2366</v>
      </c>
      <c r="ES45" t="s">
        <v>2360</v>
      </c>
    </row>
    <row r="46" spans="1:149">
      <c r="A46" t="str">
        <f>'Translate&amp;Prices&amp;Logo'!$B$41</f>
        <v>Verona Inox Acier szczotkowany - maksymalna zalecana zalecana długość profilu 2500 mm</v>
      </c>
      <c r="B46">
        <v>1</v>
      </c>
      <c r="C46" t="s">
        <v>662</v>
      </c>
      <c r="D46">
        <v>0</v>
      </c>
      <c r="ED46" t="s">
        <v>1751</v>
      </c>
      <c r="EE46" t="s">
        <v>1907</v>
      </c>
      <c r="ER46" t="s">
        <v>2367</v>
      </c>
      <c r="ES46" t="s">
        <v>2361</v>
      </c>
    </row>
    <row r="47" spans="1:149">
      <c r="A47" t="str">
        <f>'Translate&amp;Prices&amp;Logo'!$B$24</f>
        <v>Verona złota - maksymalna zalecana długość profilu 2150 mm</v>
      </c>
      <c r="B47">
        <v>1</v>
      </c>
      <c r="C47" t="s">
        <v>662</v>
      </c>
      <c r="D47">
        <v>0</v>
      </c>
      <c r="ED47" t="s">
        <v>1752</v>
      </c>
      <c r="EE47" t="s">
        <v>1908</v>
      </c>
      <c r="ER47" t="s">
        <v>2368</v>
      </c>
      <c r="ES47" t="s">
        <v>2362</v>
      </c>
    </row>
    <row r="48" spans="1:149">
      <c r="A48" t="str">
        <f>'Translate&amp;Prices&amp;Logo'!$B$56</f>
        <v>Verona złota szczotkowany - maksymalna zalecana zalecana długość profilu 2150 mm</v>
      </c>
      <c r="B48">
        <v>1</v>
      </c>
      <c r="C48" t="s">
        <v>662</v>
      </c>
      <c r="D48">
        <v>0</v>
      </c>
      <c r="ED48" t="s">
        <v>1753</v>
      </c>
      <c r="EE48" t="s">
        <v>1909</v>
      </c>
      <c r="ER48" t="s">
        <v>2369</v>
      </c>
      <c r="ES48" t="s">
        <v>2363</v>
      </c>
    </row>
    <row r="49" spans="1:149">
      <c r="A49" t="str">
        <f>'Translate&amp;Prices&amp;Logo'!$B$43</f>
        <v>Vivaro (elox.) - maksymalna zalecana zalecana długość profilu 2500 mm</v>
      </c>
      <c r="B49">
        <v>2</v>
      </c>
      <c r="C49" t="s">
        <v>662</v>
      </c>
      <c r="D49">
        <v>1</v>
      </c>
      <c r="AA49" t="s">
        <v>2208</v>
      </c>
      <c r="AB49" t="s">
        <v>2210</v>
      </c>
      <c r="ED49" t="s">
        <v>1754</v>
      </c>
      <c r="EE49" t="s">
        <v>1910</v>
      </c>
      <c r="ER49" t="s">
        <v>2370</v>
      </c>
      <c r="ES49" t="s">
        <v>2364</v>
      </c>
    </row>
    <row r="50" spans="1:149">
      <c r="A50" t="str">
        <f>'Translate&amp;Prices&amp;Logo'!$B$44</f>
        <v>Vivaro czarny matowy - maksymalna zalecana zalecana długość profilu 2500 mm</v>
      </c>
      <c r="B50">
        <v>2</v>
      </c>
      <c r="C50" t="s">
        <v>662</v>
      </c>
      <c r="D50">
        <v>1</v>
      </c>
      <c r="AB50" t="s">
        <v>2515</v>
      </c>
      <c r="AC50">
        <v>0</v>
      </c>
      <c r="AD50">
        <v>0</v>
      </c>
      <c r="ED50" t="s">
        <v>1755</v>
      </c>
      <c r="EE50" t="s">
        <v>1911</v>
      </c>
      <c r="ER50" t="s">
        <v>2371</v>
      </c>
      <c r="ES50" t="s">
        <v>2365</v>
      </c>
    </row>
    <row r="51" spans="1:149">
      <c r="A51" t="str">
        <f>'Translate&amp;Prices&amp;Logo'!$B$46</f>
        <v>Vivaro INOX (stal nierdzewna) - maksymalna zalecana zalecana długość profilu 2500 mm</v>
      </c>
      <c r="B51">
        <v>2</v>
      </c>
      <c r="C51" t="s">
        <v>662</v>
      </c>
      <c r="D51">
        <v>0</v>
      </c>
      <c r="AB51" t="s">
        <v>2517</v>
      </c>
      <c r="AC51">
        <v>0</v>
      </c>
      <c r="AD51">
        <v>0</v>
      </c>
      <c r="ED51" t="s">
        <v>1756</v>
      </c>
      <c r="EE51" t="s">
        <v>1912</v>
      </c>
      <c r="ER51" t="s">
        <v>2614</v>
      </c>
      <c r="ES51" t="s">
        <v>2606</v>
      </c>
    </row>
    <row r="52" spans="1:149">
      <c r="A52" t="str">
        <f>'Translate&amp;Prices&amp;Logo'!$B$47</f>
        <v>Vivaro biały matowy RAL 9003 - maksymalna zalecana zalecana długość profilu 2500 mm</v>
      </c>
      <c r="B52">
        <v>2</v>
      </c>
      <c r="C52" t="s">
        <v>662</v>
      </c>
      <c r="D52">
        <v>0</v>
      </c>
      <c r="AB52" t="s">
        <v>2512</v>
      </c>
      <c r="AC52">
        <v>0</v>
      </c>
      <c r="AD52">
        <v>0</v>
      </c>
      <c r="ED52" t="s">
        <v>1757</v>
      </c>
      <c r="EE52" t="s">
        <v>1913</v>
      </c>
      <c r="ER52" t="s">
        <v>2615</v>
      </c>
      <c r="ES52" t="s">
        <v>2607</v>
      </c>
    </row>
    <row r="53" spans="1:149">
      <c r="A53" t="str">
        <f>'Translate&amp;Prices&amp;Logo'!$B$48</f>
        <v>Vivaro biały połysk RAL 9003 - maksymalna zalecana zalecana długość profilu 2500 mm</v>
      </c>
      <c r="B53">
        <v>2</v>
      </c>
      <c r="C53" t="s">
        <v>662</v>
      </c>
      <c r="D53">
        <v>0</v>
      </c>
      <c r="AB53" t="s">
        <v>2513</v>
      </c>
      <c r="AC53">
        <v>0</v>
      </c>
      <c r="AD53">
        <v>0</v>
      </c>
      <c r="ED53" t="s">
        <v>1758</v>
      </c>
      <c r="EE53" t="s">
        <v>1914</v>
      </c>
      <c r="ER53" t="s">
        <v>2616</v>
      </c>
      <c r="ES53" t="s">
        <v>2608</v>
      </c>
    </row>
    <row r="54" spans="1:149">
      <c r="A54" t="str">
        <f>'Translate&amp;Prices&amp;Logo'!$B$31</f>
        <v>Vivaro złota - maksymalna zalecana zalecana długość profilu 2150 mm</v>
      </c>
      <c r="B54">
        <v>2</v>
      </c>
      <c r="C54" t="s">
        <v>662</v>
      </c>
      <c r="D54">
        <v>1</v>
      </c>
      <c r="ED54" t="s">
        <v>1759</v>
      </c>
      <c r="EE54" t="s">
        <v>1915</v>
      </c>
      <c r="ER54" t="s">
        <v>2617</v>
      </c>
      <c r="ES54" t="s">
        <v>2609</v>
      </c>
    </row>
    <row r="55" spans="1:149">
      <c r="A55" t="str">
        <f>'Translate&amp;Prices&amp;Logo'!$B$57</f>
        <v>Vivaro złota szczotkowany - maksymalna zalecana zalecana długość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(lewa i prawa) + Varna elox (góra i dół)</v>
      </c>
      <c r="B60">
        <v>3</v>
      </c>
      <c r="C60" t="s">
        <v>662</v>
      </c>
      <c r="D60">
        <v>0</v>
      </c>
      <c r="AB60" t="s">
        <v>1054</v>
      </c>
      <c r="AC60">
        <v>0</v>
      </c>
      <c r="AD60">
        <v>0</v>
      </c>
      <c r="ED60" t="s">
        <v>1765</v>
      </c>
      <c r="EE60" t="s">
        <v>1921</v>
      </c>
      <c r="ER60" t="s">
        <v>2351</v>
      </c>
      <c r="ES60" t="s">
        <v>2339</v>
      </c>
    </row>
    <row r="61" spans="1:149">
      <c r="A61" t="str">
        <f>'Translate&amp;Prices&amp;Logo'!$B$81</f>
        <v>Rocca czarny (lewa i prawa) + Varna czarny (góra i dół)</v>
      </c>
      <c r="B61">
        <v>3</v>
      </c>
      <c r="C61" t="s">
        <v>662</v>
      </c>
      <c r="D61">
        <v>0</v>
      </c>
      <c r="AB61" t="s">
        <v>1056</v>
      </c>
      <c r="AC61">
        <v>0</v>
      </c>
      <c r="AD61">
        <v>0</v>
      </c>
      <c r="ED61" t="s">
        <v>1766</v>
      </c>
      <c r="EE61" t="s">
        <v>1922</v>
      </c>
      <c r="ER61" t="s">
        <v>2352</v>
      </c>
      <c r="ES61" t="s">
        <v>2340</v>
      </c>
    </row>
    <row r="62" spans="1:149">
      <c r="A62" t="str">
        <f>'Translate&amp;Prices&amp;Logo'!$B$71</f>
        <v>ROMA czarna matowa -  maksymalna zalecana długość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maksymalna zalecana długość profilu 2696 mm</v>
      </c>
      <c r="B63">
        <v>1</v>
      </c>
      <c r="C63" t="s">
        <v>662</v>
      </c>
      <c r="D63">
        <v>0</v>
      </c>
      <c r="AB63" t="s">
        <v>1059</v>
      </c>
      <c r="AC63">
        <v>0</v>
      </c>
      <c r="AD63">
        <v>0</v>
      </c>
      <c r="ED63" t="s">
        <v>1768</v>
      </c>
      <c r="EE63" t="s">
        <v>1924</v>
      </c>
      <c r="ER63" t="s">
        <v>2620</v>
      </c>
      <c r="ES63" t="s">
        <v>2604</v>
      </c>
    </row>
    <row r="64" spans="1:149">
      <c r="A64" t="str">
        <f>'Translate&amp;Prices&amp;Logo'!$B$73</f>
        <v>ROMA GRIP czarna matowa - maksymalna zalecana długość profilu 2696 mm</v>
      </c>
      <c r="B64">
        <v>1</v>
      </c>
      <c r="C64" t="s">
        <v>662</v>
      </c>
      <c r="D64">
        <v>0</v>
      </c>
      <c r="ED64" t="s">
        <v>1769</v>
      </c>
      <c r="EE64" t="s">
        <v>1925</v>
      </c>
      <c r="ER64" t="s">
        <v>2621</v>
      </c>
      <c r="ES64" t="s">
        <v>2605</v>
      </c>
    </row>
    <row r="65" spans="1:149">
      <c r="A65" t="str">
        <f>'Translate&amp;Prices&amp;Logo'!$B$74</f>
        <v>ROMA GRIP champagne mat - maksymalna zalecana długość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maksymalna zalecana długość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450"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449" priority="3" stopIfTrue="1">
      <formula>AND(COUNTIF($A$37:$A$41, A17)+COUNTIF($A$3:$A$15, A17)+COUNTIF($A$17:$A$31, A17)+COUNTIF($A$33:$A$35, A17)+COUNTIF($A$43:$A$47, A17)+COUNTIF($A$49:$A$54, A17)+COUNTIF($A$56:$A$99, A17)&gt;1,NOT(ISBLANK(A17)))</formula>
    </cfRule>
  </conditionalFormatting>
  <conditionalFormatting sqref="A34 A54 A56 A62:A65">
    <cfRule type="expression" dxfId="448" priority="2" stopIfTrue="1">
      <formula>AND(COUNTIF($A$54:$A$54, A34)+COUNTIF($A$56:$A$59, A34)+COUNTIF($A$34:$A$34, A34)&gt;1,NOT(ISBLANK(A34)))</formula>
    </cfRule>
  </conditionalFormatting>
  <conditionalFormatting sqref="A72:A99 DW346:DW347">
    <cfRule type="expression" dxfId="447" priority="667" stopIfTrue="1">
      <formula>AND(COUNTIF($A$38:$A$42, A72)+COUNTIF($A$3:$A$15, A72)+COUNTIF($A$17:$A$31, A72)+COUNTIF($A$34:$A$36, A72)+COUNTIF($A$44:$A$48, A72)+COUNTIF($A$50:$A$55, A72)+COUNTIF($A$57:$A$99, A72)&gt;1,NOT(ISBLANK(A72)))</formula>
    </cfRule>
  </conditionalFormatting>
  <conditionalFormatting sqref="F14:F19">
    <cfRule type="duplicateValues" dxfId="446" priority="19"/>
  </conditionalFormatting>
  <conditionalFormatting sqref="P2:P61 P63:P65536">
    <cfRule type="expression" dxfId="445" priority="35" stopIfTrue="1">
      <formula>AND(COUNTIF($P$63:$P$65536, P2)+COUNTIF($P$2:$P$61, P2)&gt;1,NOT(ISBLANK(P2)))</formula>
    </cfRule>
  </conditionalFormatting>
  <conditionalFormatting sqref="Q2 Q4 Q6:Q12 Q15:Q20 Q22:Q23 Q26:Q54 S27:S30 Q68:Q65536">
    <cfRule type="expression" dxfId="444" priority="45" stopIfTrue="1">
      <formula>AND(COUNTIF($Q$68:$Q$65536, Q2)+COUNTIF($Q$2:$Q$2, Q2)+COUNTIF($Q$4:$Q$4, Q2)+COUNTIF($Q$6:$Q$54, Q2)&gt;1,NOT(ISBLANK(Q2)))</formula>
    </cfRule>
  </conditionalFormatting>
  <conditionalFormatting sqref="R4:R6">
    <cfRule type="duplicateValues" dxfId="443" priority="30"/>
  </conditionalFormatting>
  <conditionalFormatting sqref="R7 R9">
    <cfRule type="duplicateValues" dxfId="442" priority="42"/>
  </conditionalFormatting>
  <conditionalFormatting sqref="R10">
    <cfRule type="duplicateValues" dxfId="441" priority="29"/>
  </conditionalFormatting>
  <conditionalFormatting sqref="R11:R18 R29:R33">
    <cfRule type="duplicateValues" dxfId="440" priority="44"/>
  </conditionalFormatting>
  <conditionalFormatting sqref="R19:R20 R37:R39 R34">
    <cfRule type="duplicateValues" dxfId="439" priority="38"/>
  </conditionalFormatting>
  <conditionalFormatting sqref="R21:R23">
    <cfRule type="duplicateValues" dxfId="438" priority="28"/>
  </conditionalFormatting>
  <conditionalFormatting sqref="R49:R55">
    <cfRule type="duplicateValues" dxfId="437" priority="31"/>
  </conditionalFormatting>
  <conditionalFormatting sqref="R49:R61 R2 R63:R65536">
    <cfRule type="expression" dxfId="436" priority="34" stopIfTrue="1">
      <formula>AND(COUNTIF($R$2:$R$2, R2)+COUNTIF($R$63:$R$65536, R2)+COUNTIF($R$49:$R$61, R2)&gt;1,NOT(ISBLANK(R2)))</formula>
    </cfRule>
  </conditionalFormatting>
  <conditionalFormatting sqref="R56:R57">
    <cfRule type="duplicateValues" dxfId="435" priority="32"/>
  </conditionalFormatting>
  <conditionalFormatting sqref="R58:R61 R63">
    <cfRule type="expression" dxfId="434" priority="36" stopIfTrue="1">
      <formula>AND(COUNTIF($R$63:$R$63, R58)+COUNTIF($R$58:$R$61, R58)&gt;1,NOT(ISBLANK(R58)))</formula>
    </cfRule>
  </conditionalFormatting>
  <conditionalFormatting sqref="S4">
    <cfRule type="duplicateValues" dxfId="433" priority="27"/>
  </conditionalFormatting>
  <conditionalFormatting sqref="S6:S8 S10">
    <cfRule type="duplicateValues" dxfId="432" priority="49"/>
  </conditionalFormatting>
  <conditionalFormatting sqref="S12:S17">
    <cfRule type="duplicateValues" dxfId="431" priority="26"/>
  </conditionalFormatting>
  <conditionalFormatting sqref="S18:S19">
    <cfRule type="duplicateValues" dxfId="430" priority="25"/>
  </conditionalFormatting>
  <conditionalFormatting sqref="S20:S26">
    <cfRule type="duplicateValues" dxfId="429" priority="43"/>
  </conditionalFormatting>
  <conditionalFormatting sqref="S31:S52">
    <cfRule type="duplicateValues" dxfId="428" priority="48"/>
  </conditionalFormatting>
  <conditionalFormatting sqref="T4">
    <cfRule type="duplicateValues" dxfId="427" priority="24"/>
  </conditionalFormatting>
  <conditionalFormatting sqref="U4:U6">
    <cfRule type="duplicateValues" dxfId="426" priority="23"/>
  </conditionalFormatting>
  <conditionalFormatting sqref="U7:U14 U26:U30">
    <cfRule type="duplicateValues" dxfId="425" priority="46"/>
  </conditionalFormatting>
  <conditionalFormatting sqref="U15:U16 U31:U32">
    <cfRule type="duplicateValues" dxfId="424" priority="39"/>
  </conditionalFormatting>
  <conditionalFormatting sqref="U17:U19">
    <cfRule type="duplicateValues" dxfId="423" priority="22"/>
  </conditionalFormatting>
  <conditionalFormatting sqref="V4:V6">
    <cfRule type="duplicateValues" dxfId="422" priority="21"/>
  </conditionalFormatting>
  <conditionalFormatting sqref="V17:V19">
    <cfRule type="duplicateValues" dxfId="421" priority="20"/>
  </conditionalFormatting>
  <conditionalFormatting sqref="V21:V30 V7:V14">
    <cfRule type="duplicateValues" dxfId="420" priority="47"/>
  </conditionalFormatting>
  <conditionalFormatting sqref="V31:V32 V15:V16">
    <cfRule type="duplicateValues" dxfId="419" priority="40"/>
  </conditionalFormatting>
  <conditionalFormatting sqref="AC4:AC13 AC15:AC23 AC29:AC34 AC40:AC41 AC43:AC45 AC50:AC53 AC60:AC63">
    <cfRule type="cellIs" dxfId="418" priority="33" operator="equal">
      <formula>1</formula>
    </cfRule>
  </conditionalFormatting>
  <conditionalFormatting sqref="BQ9:BQ10">
    <cfRule type="duplicateValues" dxfId="417" priority="17"/>
  </conditionalFormatting>
  <conditionalFormatting sqref="BQ2:BR2">
    <cfRule type="duplicateValues" dxfId="416" priority="18"/>
  </conditionalFormatting>
  <conditionalFormatting sqref="DT2:DT44">
    <cfRule type="duplicateValues" dxfId="413" priority="11"/>
  </conditionalFormatting>
  <conditionalFormatting sqref="DT2:DT570">
    <cfRule type="duplicateValues" dxfId="412" priority="6"/>
  </conditionalFormatting>
  <conditionalFormatting sqref="DT45:DT87">
    <cfRule type="duplicateValues" dxfId="411" priority="9"/>
  </conditionalFormatting>
  <conditionalFormatting sqref="DT88:DT130">
    <cfRule type="duplicateValues" dxfId="410" priority="10"/>
  </conditionalFormatting>
  <conditionalFormatting sqref="DT131:DT173">
    <cfRule type="duplicateValues" dxfId="409" priority="12"/>
  </conditionalFormatting>
  <conditionalFormatting sqref="DT174:DT217">
    <cfRule type="duplicateValues" dxfId="408" priority="13"/>
  </conditionalFormatting>
  <conditionalFormatting sqref="DT257:DT287">
    <cfRule type="duplicateValues" dxfId="407" priority="16"/>
  </conditionalFormatting>
  <conditionalFormatting sqref="DU257:DU286">
    <cfRule type="duplicateValues" dxfId="406" priority="15"/>
  </conditionalFormatting>
  <conditionalFormatting sqref="DU287">
    <cfRule type="duplicateValues" dxfId="405" priority="14"/>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7" id="{0E8C7A4F-F6E4-41B7-8351-65798440B89F}">
            <xm:f>OR(Ram_5!$AU$10=1,Ram_5!$AU$10=3)</xm:f>
            <x14:dxf>
              <fill>
                <patternFill patternType="darkDown"/>
              </fill>
            </x14:dxf>
          </x14:cfRule>
          <xm:sqref>CH13</xm:sqref>
        </x14:conditionalFormatting>
        <x14:conditionalFormatting xmlns:xm="http://schemas.microsoft.com/office/excel/2006/main">
          <x14:cfRule type="expression" priority="8" id="{8DD0CE52-5581-4136-AD81-D6A56722EDDB}">
            <xm:f>OR(Ram_5!$AU$10=2,Ram_5!$AU$10=3)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"&amp;6</f>
        <v>Ramka  6</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Wprowadzenie</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IFERROR(IF(kombinace_6!FC2=TRUE,'Translate&amp;Prices&amp;Logo'!B654,IF(VLOOKUP(H8,kombinace_6!$A:$E,5,0)=3,'Translate&amp;Prices&amp;Logo'!B642,"")),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Ramka  1</v>
      </c>
      <c r="C5" s="687"/>
      <c r="D5" s="687"/>
      <c r="E5" s="163"/>
      <c r="F5" s="687" t="str">
        <f>'Translate&amp;Prices&amp;Logo'!$B$169&amp;" "&amp;" "&amp;2</f>
        <v>Ramka  2</v>
      </c>
      <c r="G5" s="687"/>
      <c r="H5" s="687"/>
      <c r="I5" s="15"/>
      <c r="J5" s="687" t="str">
        <f>'Translate&amp;Prices&amp;Logo'!$B$169&amp;" "&amp;" "&amp;3</f>
        <v>Ramka  3</v>
      </c>
      <c r="K5" s="687"/>
      <c r="L5" s="687"/>
      <c r="M5" s="15"/>
      <c r="N5" s="687" t="str">
        <f>'Translate&amp;Prices&amp;Logo'!$B$169&amp;" "&amp;" "&amp;4</f>
        <v>Ramka  4</v>
      </c>
      <c r="O5" s="687"/>
      <c r="P5" s="687"/>
      <c r="Q5" s="15"/>
      <c r="R5" s="687" t="str">
        <f>'Translate&amp;Prices&amp;Logo'!$B$169&amp;" "&amp;" "&amp;5</f>
        <v>Ramka  5</v>
      </c>
      <c r="S5" s="687"/>
      <c r="T5" s="687"/>
      <c r="U5" s="15"/>
      <c r="V5" s="687" t="str">
        <f>'Translate&amp;Prices&amp;Logo'!$B$169&amp;" "&amp;" "&amp;6</f>
        <v>Ramka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Połączenie 2 profili</v>
      </c>
      <c r="C7" s="720"/>
      <c r="D7" s="720"/>
      <c r="E7" s="720"/>
      <c r="F7" s="720"/>
      <c r="G7" s="669" t="str">
        <f>IF(kombinace_6!FC2=TRUE,AB4,"")</f>
        <v/>
      </c>
      <c r="H7" s="669"/>
      <c r="I7" s="669"/>
      <c r="J7" s="669"/>
      <c r="K7" s="669"/>
      <c r="L7" s="669"/>
      <c r="M7" s="669"/>
      <c r="N7" s="669"/>
      <c r="O7" s="669"/>
      <c r="P7" s="669"/>
      <c r="Q7" s="670"/>
      <c r="R7" s="289"/>
      <c r="S7" s="655" t="str">
        <f>'Translate&amp;Prices&amp;Logo'!$B$572</f>
        <v>Ważne informacje:</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VLOOKUP(H8,kombinace_6!$A:$B,2,0)</f>
        <v>2</v>
      </c>
      <c r="AV7" s="198" t="str">
        <f>IF(AU7=2,"Široký",IF(AU7=1,"Úzký",IF(AU7=3,"kombo")))</f>
        <v>Široký</v>
      </c>
    </row>
    <row r="8" spans="1:65" ht="45.6" customHeight="1">
      <c r="A8" s="118"/>
      <c r="B8" s="281" t="str">
        <f>'Translate&amp;Prices&amp;Logo'!$B$653</f>
        <v>Wypełnienie z siatki</v>
      </c>
      <c r="C8" s="282"/>
      <c r="D8" s="282"/>
      <c r="E8" s="283" t="str">
        <f>'Translate&amp;Prices&amp;Logo'!$B$172</f>
        <v>Rodzaj profilu</v>
      </c>
      <c r="F8" s="283"/>
      <c r="G8" s="288"/>
      <c r="H8" s="721"/>
      <c r="I8" s="721"/>
      <c r="J8" s="721"/>
      <c r="K8" s="721"/>
      <c r="L8" s="721"/>
      <c r="M8" s="721"/>
      <c r="N8" s="721"/>
      <c r="O8" s="721"/>
      <c r="P8" s="721"/>
      <c r="Q8" s="722"/>
      <c r="R8" s="290"/>
      <c r="S8" s="706">
        <f>IF(AU10&gt;0,'Translate&amp;Prices&amp;Logo'!B303,IF(H8=kombinace_6!A54,'Translate&amp;Prices&amp;Logo'!B580,0))</f>
        <v>0</v>
      </c>
      <c r="T8" s="707"/>
      <c r="U8" s="707"/>
      <c r="V8" s="707"/>
      <c r="W8" s="707"/>
      <c r="X8" s="707"/>
      <c r="Y8" s="708"/>
      <c r="Z8" s="137"/>
      <c r="AA8" s="133"/>
      <c r="AB8" s="15"/>
      <c r="AC8" s="637" t="str">
        <f>'Translate&amp;Prices&amp;Logo'!$B$242</f>
        <v>Odległość od krawędzi</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IFERROR(IF(AND(VLOOKUP(H8,kombinace_6!$A:$D,4,0)=1,kombinace_6!FC2=FALSE),'Translate&amp;Prices&amp;Logo'!$B$543,0),0)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Rozstaw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IFERROR((VLOOKUP(H12,kombinace_6!$DP$2:$DQ$3,2,0)),"")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Odległość od górnej krawędzi</v>
      </c>
      <c r="AF10" s="15"/>
      <c r="AG10" s="15"/>
      <c r="AH10" s="15"/>
      <c r="AI10" s="117"/>
      <c r="AJ10" s="118"/>
      <c r="AK10" s="15"/>
      <c r="AL10" s="15"/>
      <c r="AM10" s="15"/>
      <c r="AN10" s="15"/>
      <c r="AO10" s="15"/>
      <c r="AP10" s="134"/>
      <c r="AQ10" s="373"/>
      <c r="AR10" s="15"/>
      <c r="AS10" s="15"/>
      <c r="AT10" s="197" t="s">
        <v>1306</v>
      </c>
      <c r="AU10" s="198">
        <f>IFERROR(VLOOKUP(H9,kombinace_6!$BY$13:$BZ$15,2,0),0)</f>
        <v>0</v>
      </c>
      <c r="AV10" s="198"/>
    </row>
    <row r="11" spans="1:65" ht="18" customHeight="1">
      <c r="A11" s="118"/>
      <c r="B11" s="695" t="str">
        <f>('Translate&amp;Prices&amp;Logo'!$B$543)&amp;" "&amp;"("&amp;'Translate&amp;Prices&amp;Logo'!$B$174&amp;")"</f>
        <v>Szprosy (Ilość sztuk)</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IFERROR(IF(kombinace_6!$H$1=TRUE,BA2+AY3,0),0)</f>
        <v>0</v>
      </c>
      <c r="AU11" s="204"/>
      <c r="AV11" s="198"/>
    </row>
    <row r="12" spans="1:65" ht="18" customHeight="1">
      <c r="A12" s="118"/>
      <c r="B12" s="638" t="str">
        <f>'Translate&amp;Prices&amp;Logo'!$B$258</f>
        <v>Typ okucia</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Marka okucia</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Rozstaw  mm</v>
      </c>
      <c r="AE14" s="645"/>
      <c r="AF14" s="15"/>
      <c r="AG14" s="15"/>
      <c r="AH14" s="15"/>
      <c r="AI14" s="117"/>
      <c r="AJ14" s="118"/>
      <c r="AK14" s="15"/>
      <c r="AL14" s="15"/>
      <c r="AM14" s="682" t="str">
        <f>('Translate&amp;Prices&amp;Logo'!$B$548)&amp;" "&amp;H26&amp;" "&amp;"mm"</f>
        <v>Rozstaw  mm</v>
      </c>
      <c r="AN14" s="15"/>
      <c r="AO14" s="138"/>
      <c r="AP14" s="131"/>
      <c r="AQ14" s="373"/>
      <c r="AR14" s="729"/>
      <c r="AS14" s="15"/>
      <c r="AT14" s="204"/>
      <c r="AU14" s="198"/>
      <c r="AV14" s="198"/>
      <c r="AW14" s="223" t="s">
        <v>2322</v>
      </c>
    </row>
    <row r="15" spans="1:65" ht="18" customHeight="1" thickBot="1">
      <c r="A15" s="118"/>
      <c r="B15" s="638" t="str">
        <f>'Translate&amp;Prices&amp;Logo'!$B$545</f>
        <v>Wariant okucia</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IF(H15=kombinace_6!AB40,'Translate&amp;Prices&amp;Logo'!$B$224,IF(H15=kombinace_6!AB41,'Translate&amp;Prices&amp;Logo'!$B$224,IF(H12='závěsy dle výklopu'!BQ2,'Translate&amp;Prices&amp;Logo'!$B$222,'Translate&amp;Prices&amp;Logo'!$B$218)))</f>
        <v>Wybierz pozycję ramki</v>
      </c>
      <c r="C16" s="694"/>
      <c r="D16" s="694"/>
      <c r="E16" s="694"/>
      <c r="F16" s="692"/>
      <c r="G16" s="692"/>
      <c r="H16" s="692"/>
      <c r="I16" s="692"/>
      <c r="J16" s="712" t="str">
        <f>IF(OR(H15=kombinace_6!AB40,H15=kombinace_6!AB7,H15=kombinace_6!AB15,H15=kombinace_6!AB20,H15=kombinace_6!AB21,H15=kombinace_6!AB22),'Translate&amp;Prices&amp;Logo'!$B$226,IF(H15=kombinace_6!AB41,'Translate&amp;Prices&amp;Logo'!$B$226,'Translate&amp;Prices&amp;Logo'!$B$232))</f>
        <v>Rodzaj drugiej ramki</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IF(H12='Translate&amp;Prices&amp;Logo'!B551,'Translate&amp;Prices&amp;Logo'!B238,IF(H15=kombinace_6!AB8,'Translate&amp;Prices&amp;Logo'!B284,0))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IF(H13="Salice",VLOOKUP(H17,kombinace_6!$BY:$BZ,2,0),0)</f>
        <v>0</v>
      </c>
    </row>
    <row r="18" spans="1:52" ht="18" customHeight="1">
      <c r="A18" s="118"/>
      <c r="B18" s="638">
        <f>IFERROR(IF(VLOOKUP(H15,kombinace_6!CD:CE,2,0)=1,'Translate&amp;Prices&amp;Logo'!$B$547,0),0)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IFERROR(IF(H12='Translate&amp;Prices&amp;Logo'!B551,'Translate&amp;Prices&amp;Logo'!$B$223,IF(VLOOKUP(H15,kombinace_6!CD:CE,2,0)=1,'Translate&amp;Prices&amp;Logo'!$B$223,)),0)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Odległość od dolnej krawędzi</v>
      </c>
      <c r="AM19" s="682"/>
      <c r="AN19" s="673">
        <v>0</v>
      </c>
      <c r="AO19" s="673"/>
      <c r="AP19" s="133"/>
      <c r="AQ19" s="373"/>
      <c r="AR19" s="728" t="str">
        <f>'Translate&amp;Prices&amp;Logo'!$B$176</f>
        <v>Wysokość</v>
      </c>
      <c r="AS19" s="15"/>
      <c r="AT19" s="204"/>
      <c r="AU19" s="196">
        <f>IFERROR(IF(H12='závěsy dle výklopu'!BR2,VLOOKUP(H15,kombinace_6!$CD$3:$CF$18,3,0),IF(H12='závěsy dle výklopu'!BQ2,1,0)),0)</f>
        <v>0</v>
      </c>
      <c r="AV19" s="198">
        <f>IFERROR(VLOOKUP(H15,kombinace_6!$CD:$CF,3,0),0)</f>
        <v>0</v>
      </c>
    </row>
    <row r="20" spans="1:52" ht="18" customHeight="1">
      <c r="A20" s="118"/>
      <c r="B20" s="697">
        <f>IF(H13&lt;&gt;"Salice",(IFERROR('Translate&amp;Prices&amp;Logo'!$B$242&amp;" "&amp;(VLOOKUP(H17,kombinace_6!$BY$32:$CA$35,2,0)),0)),0)</f>
        <v>0</v>
      </c>
      <c r="C20" s="636"/>
      <c r="D20" s="636"/>
      <c r="E20" s="636"/>
      <c r="F20" s="691">
        <v>100</v>
      </c>
      <c r="G20" s="691"/>
      <c r="H20" s="691"/>
      <c r="I20" s="691"/>
      <c r="J20" s="636">
        <f>IFERROR('Translate&amp;Prices&amp;Logo'!$B$242&amp;" "&amp;(VLOOKUP(H17,kombinace_6!$BY$32:$CA$35,3,0)),0)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IF(kombinace_6!FC2=FALSE,'Translate&amp;Prices&amp;Logo'!$B$173," ")</f>
        <v>Rodzaj szkła</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Nie zmieniaj po wybraniu rodzaj szkła/siatka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VLOOKUP(H17,kombinace_6!$BY$3:$BZ$6,2,0)</f>
        <v>#N/A</v>
      </c>
      <c r="AV23" s="198"/>
    </row>
    <row r="24" spans="1:52" ht="18" customHeight="1">
      <c r="A24" s="118"/>
      <c r="B24" s="667" t="str">
        <f>'Translate&amp;Prices&amp;Logo'!$B$562</f>
        <v>Rodzaj folii</v>
      </c>
      <c r="C24" s="668"/>
      <c r="D24" s="668"/>
      <c r="E24" s="668"/>
      <c r="F24" s="668"/>
      <c r="G24" s="155"/>
      <c r="H24" s="684"/>
      <c r="I24" s="684"/>
      <c r="J24" s="684"/>
      <c r="K24" s="684"/>
      <c r="L24" s="684"/>
      <c r="M24" s="684"/>
      <c r="N24" s="684"/>
      <c r="O24" s="684"/>
      <c r="P24" s="684"/>
      <c r="Q24" s="685"/>
      <c r="R24" s="118"/>
      <c r="S24" s="655" t="str">
        <f>'Translate&amp;Prices&amp;Logo'!$B$177</f>
        <v>Uwagi (notatki)</v>
      </c>
      <c r="T24" s="655"/>
      <c r="U24" s="655"/>
      <c r="Z24" s="137"/>
      <c r="AA24" s="135"/>
      <c r="AB24" s="136"/>
      <c r="AC24" s="637" t="str">
        <f>'Translate&amp;Prices&amp;Logo'!$B$242</f>
        <v>Odległość od krawędzi</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Rodzaj szkła/siatka</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Rozstaw  mm</v>
      </c>
      <c r="AG25" s="683"/>
      <c r="AH25" s="683"/>
      <c r="AI25" s="683"/>
      <c r="AJ25" s="683"/>
      <c r="AK25" s="683"/>
      <c r="AL25" s="680"/>
      <c r="AM25" s="681"/>
      <c r="AN25" s="15"/>
      <c r="AO25" s="137"/>
      <c r="AP25" s="140"/>
      <c r="AQ25" s="373"/>
      <c r="AR25" s="15"/>
      <c r="AS25" s="15"/>
      <c r="AT25" s="204"/>
      <c r="AU25" s="198" t="e">
        <f>VLOOKUP(H27,kombinace_6!$BY:$BZ,2,0)</f>
        <v>#N/A</v>
      </c>
      <c r="AV25" s="198"/>
    </row>
    <row r="26" spans="1:52" ht="18" customHeight="1">
      <c r="A26" s="118"/>
      <c r="B26" s="638" t="str">
        <f>'Translate&amp;Prices&amp;Logo'!$B$549</f>
        <v>Rozstaw uchwytu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Umieszczenie uchwytu</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Ilość sztuk</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VLOOKUP(H14,kombinace_6!$DN$7:$DO$24,2,0)</f>
        <v>#N/A</v>
      </c>
      <c r="AB29" s="679">
        <f>IF(kombinace_6!FC2=TRUE,AB4,IF(H12='závěsy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Cena ramek</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zl</v>
      </c>
      <c r="Q30" s="657"/>
      <c r="R30" s="118"/>
      <c r="S30" s="649"/>
      <c r="T30" s="650"/>
      <c r="U30" s="650"/>
      <c r="V30" s="650"/>
      <c r="W30" s="650"/>
      <c r="X30" s="650"/>
      <c r="Y30" s="651"/>
      <c r="Z30" s="15"/>
      <c r="AA30" s="15"/>
      <c r="AB30" s="118"/>
      <c r="AC30" s="15"/>
      <c r="AD30" s="15"/>
      <c r="AE30" s="15"/>
      <c r="AF30" s="678" t="str">
        <f>'Translate&amp;Prices&amp;Logo'!$B$175</f>
        <v>Szerokość</v>
      </c>
      <c r="AG30" s="678"/>
      <c r="AH30" s="678"/>
      <c r="AI30" s="671"/>
      <c r="AJ30" s="671"/>
      <c r="AK30" s="671"/>
      <c r="AL30" s="15"/>
      <c r="AM30" s="15"/>
      <c r="AN30" s="15"/>
      <c r="AO30" s="15"/>
      <c r="AP30" s="15"/>
      <c r="AQ30" s="15"/>
      <c r="AR30" s="15"/>
      <c r="AS30" s="15"/>
      <c r="AT30" s="204"/>
      <c r="AU30" s="196" t="e">
        <f>HLOOKUP("_Úzký_dolny_K12",kombinace_6!CV2:CW19,3,FALSE)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Podsumowanie</v>
      </c>
      <c r="AP31" s="727"/>
      <c r="AQ31" s="727"/>
      <c r="AR31" s="727"/>
      <c r="AS31" s="15"/>
      <c r="AT31" s="204"/>
      <c r="AU31" s="196" t="str">
        <f>AD44</f>
        <v>_Široký_</v>
      </c>
    </row>
    <row r="32" spans="1:52" ht="17.25" customHeight="1">
      <c r="A32" s="118"/>
      <c r="B32" s="688" t="str">
        <f>'Translate&amp;Prices&amp;Logo'!$B$171</f>
        <v>Podane ceny nie zawierają podatku VAT ani nie zawierają ceny okuć!</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 xml:space="preserve">Ramki aluminiowe bez szkła dostarczane są w stanie rozmontowanym. </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IF(kombinace_6!V1=2,((AR14/1000)*(AI30/1000))*'Translate&amp;Prices&amp;Logo'!C94,0)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IF(kombinace_6!$V$1=3,IFERROR(((VLOOKUP(H24,'Translate&amp;Prices&amp;Logo'!B91:C93,2,0))*(AR14/1000)),0),0)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IF(kombinace_6!FC2=TRUE,_profily_síťka,IF(kombinace_6!H1=TRUE,_kombinovane_profily,_vše_profily))</f>
        <v>BRW (elox.) - maksymalna zalecana długość profilu 2500 mm</v>
      </c>
      <c r="L36" s="215" t="str">
        <f t="array" ref="L36:M36">IF(kombinace_6!H1=TRUE,'závěsy dle výklopu'!$BQ$2:$BR$2,
IF(H8=kombinace_6!A34,'závěsy dle výklopu'!$BQ$2,IF(H8=kombinace_6!A35,'závěsy dle výklopu'!$BQ$2,IF(H8=kombinace_6!A55,'závěsy dle výklopu'!$BQ$2,IF(H8=kombinace_6!A56,'závěsy dle výklopu'!$BQ$2,IF(H8=kombinace_6!A57,'závěsy dle výklopu'!$BQ$2,IF(H8=kombinace_6!A58,'závěsy dle výklopu'!$BQ$2,'závěsy dle výklopu'!$BQ$2:$BR$2)))))))</f>
        <v>Zawiasy</v>
      </c>
      <c r="M36" s="215" t="str">
        <v>Zawiasy</v>
      </c>
      <c r="P36" s="215" t="str" cm="1">
        <f t="array" ref="P36:P38">IF(H13=kombinace_6!BQ11,kombinace_6!$DN$2,kombinace_6!$DN$2:$DN$4)</f>
        <v>Nakładany</v>
      </c>
      <c r="T36" s="215">
        <f t="array" aca="1" ref="T36:T44" ca="1">IF(H13=kombinace_6!BQ11,
  kombinace_6!$FA$2:$FA$9,
  IF(AND(OR(H8=kombinace_6!A34,H8=kombinace_6!A35),H13='závěsy dle výklopu'!BQ4),
    INDIRECT(VLOOKUP(AD42&amp;"_Rocca",kombinace_6!$ER$1:$ES$108,2,0)),
    IF($AU$9=2,
      INDIRECT(VLOOKUP(AD42,kombinace_6!$ER$1:$ES$108,2,0)),
      IF($AU$9=3,
        INDIRECT(VLOOKUP($T$47,kombinace_6!$AA$1:$AB$100,2,0)),
      $Y$48)
    )
  )
)</f>
        <v>0</v>
      </c>
      <c r="AF36" s="215" t="e">
        <f>HLOOKUP($AD$44,'závěsy dle výklopu'!$CG$4:$EZ$10,2,0)</f>
        <v>#N/A</v>
      </c>
      <c r="AJ36" s="215">
        <f t="array" ref="AJ36:AJ40">IF(AM19&lt;2100,kombinace_6!BY8:BY12,kombinace_6!BY8:BY12)</f>
        <v>2</v>
      </c>
      <c r="AW36" s="313"/>
      <c r="AX36" s="313"/>
      <c r="AY36" s="313"/>
    </row>
    <row r="37" spans="1:58" s="215" customFormat="1" ht="15" hidden="1" customHeight="1">
      <c r="A37" s="198"/>
      <c r="B37" s="215" t="str">
        <v>BRW bialy matowy RAL 9003 - maksymalna zalecana długość profilu 2500 mm</v>
      </c>
      <c r="P37" s="215" t="str">
        <v>Półnakładany</v>
      </c>
      <c r="T37" s="215">
        <f ca="1"/>
        <v>0</v>
      </c>
      <c r="W37" s="215" t="str" cm="1">
        <f t="array" ref="W37">IF(Hlavní!$V$39=3,"",'Translate&amp;Prices&amp;Logo'!B556:B557)</f>
        <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bialy połysk RAL 9003 - maksymalna zalecana długość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Wpuszczany</v>
      </c>
      <c r="T38" s="215">
        <f ca="1"/>
        <v>0</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szczotkowany - maksymalna zalecana długość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Czarny matowy - maksymalna zalecana długość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czarna szczotka - maksymalna zalecana długość profilu 2500 mm</v>
      </c>
      <c r="L41" s="215" t="str">
        <v xml:space="preserve">Kesseböhmer </v>
      </c>
      <c r="T41" s="215">
        <f ca="1"/>
        <v>0</v>
      </c>
      <c r="U41" s="215">
        <f>IF(Hlavní!$V$39=3,1,2)</f>
        <v>1</v>
      </c>
      <c r="AE41" s="215">
        <f>AF41</f>
        <v>0</v>
      </c>
      <c r="AH41" s="339"/>
      <c r="AI41" s="340" t="s">
        <v>3692</v>
      </c>
      <c r="AJ41" s="340" t="s">
        <v>3693</v>
      </c>
      <c r="AS41" s="215" t="s">
        <v>1316</v>
      </c>
      <c r="AW41" s="313"/>
      <c r="AX41" s="313"/>
      <c r="AY41" s="313"/>
    </row>
    <row r="42" spans="1:58" s="215" customFormat="1" ht="18.600000000000001" hidden="1" customHeight="1">
      <c r="A42" s="198"/>
      <c r="B42" s="215" t="str">
        <v>BRW acier grata - maksymalna zalecana długość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antracyt RAL 7021 - maksymalna zalecana długość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maksymalna zalecana długość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maksymalna zalecana długość profilu 2500 mm</v>
      </c>
      <c r="M45" s="215" t="s">
        <v>2637</v>
      </c>
      <c r="N45" s="215" t="s">
        <v>1134</v>
      </c>
      <c r="AS45" s="191"/>
      <c r="AW45" s="313"/>
      <c r="AX45" s="313"/>
      <c r="AY45" s="313"/>
    </row>
    <row r="46" spans="1:58" s="215" customFormat="1" ht="14.85" hidden="1" customHeight="1">
      <c r="A46" s="198"/>
      <c r="B46" s="215" t="str">
        <v>BRW brąz - maksymalna zalecana długość profilu 2500 mm</v>
      </c>
      <c r="M46" s="215" t="s">
        <v>4509</v>
      </c>
    </row>
    <row r="47" spans="1:58" s="215" customFormat="1" ht="14.85" hidden="1" customHeight="1">
      <c r="A47" s="198"/>
      <c r="B47" s="215" t="str">
        <v>BRW INOX (stal nierdzewna) - maksymalna zalecana długość profilu 2500 mm</v>
      </c>
      <c r="M47" s="215" t="s">
        <v>4510</v>
      </c>
      <c r="T47" s="215" t="str">
        <f>CONCATENATE(H13,"_",VLOOKUP(kombinace_6!H1,kombinace_6!$J$14:$K$15,2,0))</f>
        <v>_2</v>
      </c>
      <c r="AI47" s="169"/>
      <c r="AJ47" s="335"/>
      <c r="AN47" s="723"/>
      <c r="AO47" s="723"/>
      <c r="AP47" s="723"/>
      <c r="AQ47" s="723"/>
    </row>
    <row r="48" spans="1:58" s="215" customFormat="1" ht="14.85" hidden="1" customHeight="1">
      <c r="A48" s="198"/>
      <c r="B48" s="215" t="str">
        <v>BRW złota- maksymalna zalecana długość profilu 2500 mm</v>
      </c>
      <c r="T48" s="215" t="e">
        <f>VLOOKUP(AD42,kombinace_6!ER:ES,2,0)</f>
        <v>#N/A</v>
      </c>
      <c r="AS48"/>
      <c r="AT48"/>
    </row>
    <row r="49" spans="1:46" s="215" customFormat="1" ht="14.85" hidden="1" customHeight="1">
      <c r="A49" s="198"/>
      <c r="B49" s="215" t="str">
        <v>BRW złota szczotkowany - maksymalna zalecana zalecana długość profilu 2500 mm</v>
      </c>
      <c r="AS49"/>
      <c r="AT49"/>
    </row>
    <row r="50" spans="1:46" s="215" customFormat="1" ht="14.85" hidden="1" customHeight="1">
      <c r="A50" s="198"/>
      <c r="B50" s="215" t="str">
        <v>Corleone (elox.)- maksymalna zalecana długość profilu 1500 mm</v>
      </c>
      <c r="AS50"/>
      <c r="AT50"/>
    </row>
    <row r="51" spans="1:46" s="215" customFormat="1" ht="14.85" hidden="1" customHeight="1">
      <c r="A51" s="198"/>
      <c r="B51" s="215" t="str">
        <v>Corleone czarny matowy - maksymalna zalecana długość profilu 1500 mm</v>
      </c>
      <c r="AS51"/>
      <c r="AT51"/>
    </row>
    <row r="52" spans="1:46" s="215" customFormat="1" ht="14.85" hidden="1" customHeight="1">
      <c r="A52" s="198"/>
      <c r="B52" s="215" t="str">
        <v>ASTI  czarne  - maksymalna zalecana długość profilu 2150</v>
      </c>
      <c r="AS52"/>
      <c r="AT52"/>
    </row>
    <row r="53" spans="1:46" s="215" customFormat="1" ht="14.85" hidden="1" customHeight="1">
      <c r="A53" s="198"/>
      <c r="B53" s="215" t="str">
        <v>ASTI  antracyt mat RAL 7021 mat lakier - maksymalna zalecana długość profilu 2500 mm</v>
      </c>
      <c r="AS53"/>
      <c r="AT53"/>
    </row>
    <row r="54" spans="1:46" s="215" customFormat="1" ht="14.85" hidden="1" customHeight="1">
      <c r="A54" s="198"/>
      <c r="B54" s="215" t="str">
        <v>Imola (elox.) - maksymalna zalecana długość profilu 2500 mm</v>
      </c>
      <c r="K54" s="215" t="str">
        <f t="array" ref="K54:K58">IF(OR($H$15=kombinace_6!AB40,$H$15=kombinace_6!AB7,$H$15=kombinace_6!AB15,$H$15=kombinace_6!AB20,$H$15=kombinace_6!AB21,$H$15=kombinace_6!AB22),'Translate&amp;Prices&amp;Logo'!$B$229:$B$231,IF($H$15=kombinace_6!AB41,'Translate&amp;Prices&amp;Logo'!$B$229:$B$231,'Translate&amp;Prices&amp;Logo'!$B$233:$B$237))</f>
        <v>Wąska ALU ramka</v>
      </c>
      <c r="T54" s="215" t="str">
        <f t="array" ref="T54:T56">kombinace_6!$EN$3:$EN$5</f>
        <v>Bez modyfikacji</v>
      </c>
      <c r="U54" s="215">
        <v>1</v>
      </c>
      <c r="X54" s="215" t="str">
        <f t="array" ref="X54:X56">kombinace_6!$X$3:$X$5</f>
        <v>transparentna</v>
      </c>
      <c r="AD54" s="215" t="str">
        <f t="array" aca="1" ref="AD54:AD97" ca="1">IF(kombinace_6!FC2=FALSE,
IF(OR(H8=kombinace_6!A17,H8=kombinace_6!A18,H8=kombinace_6!A25,H8=kombinace_6!A26,H8=kombinace_6!A27,H8=kombinace_6!A28),_corleone,INDIRECT(kombinace_6!S1)),
IF(kombinace_6!FC2=TRUE,INDIRECT(VLOOKUP(Ram_1!H8,'závěsy dle výklopu'!A81:B90,2,0)),0))</f>
        <v>Czyste</v>
      </c>
      <c r="AS54"/>
      <c r="AT54"/>
    </row>
    <row r="55" spans="1:46" s="215" customFormat="1" ht="14.85" hidden="1" customHeight="1">
      <c r="A55" s="198"/>
      <c r="B55" s="215" t="str">
        <v>Imola Czarny matowy - maksymalna zalecana długość profilu 2500 mm</v>
      </c>
      <c r="K55" s="215" t="str">
        <v>Szeroka ALU ramka</v>
      </c>
      <c r="T55" s="215" t="str">
        <v>Hartowane (termin dostawy 4 tygodnie)</v>
      </c>
      <c r="U55" s="215">
        <v>2</v>
      </c>
      <c r="X55" s="215" t="str">
        <v>Biała</v>
      </c>
      <c r="AD55" s="215" t="str">
        <f ca="1"/>
        <v xml:space="preserve">Satinato </v>
      </c>
      <c r="AS55"/>
      <c r="AT55"/>
    </row>
    <row r="56" spans="1:46" s="215" customFormat="1" ht="14.85" hidden="1" customHeight="1">
      <c r="A56" s="198"/>
      <c r="B56" s="215" t="str">
        <v>Imola bialy matowy RAL 9003 - maksymalna zalecana długość profilu 2500 mm</v>
      </c>
      <c r="K56" s="215" t="str">
        <v>MDF grubość 16mm</v>
      </c>
      <c r="T56" s="215" t="str">
        <v>Folia</v>
      </c>
      <c r="U56" s="215">
        <v>3</v>
      </c>
      <c r="X56" s="215" t="str">
        <v>czarna</v>
      </c>
      <c r="AD56" s="215" t="str">
        <f ca="1"/>
        <v xml:space="preserve">Satinato brązowe/Decormat Braz </v>
      </c>
    </row>
    <row r="57" spans="1:46" s="215" customFormat="1" ht="14.85" hidden="1" customHeight="1">
      <c r="A57" s="198"/>
      <c r="B57" s="215" t="str">
        <v>Imola złota - maksymalna zalecana zalecana długość profilu 2150 mm</v>
      </c>
      <c r="K57" s="215" t="str">
        <v>MDF grubość 18mm</v>
      </c>
      <c r="AD57" s="215" t="str">
        <f ca="1"/>
        <v xml:space="preserve">Satinato grafit  Decormat grafit </v>
      </c>
    </row>
    <row r="58" spans="1:46" s="215" customFormat="1" ht="14.85" hidden="1" customHeight="1">
      <c r="A58" s="198"/>
      <c r="B58" s="215" t="str">
        <v>Modena (elox.) - maksymalna zalecana długość profilu 2500 mm</v>
      </c>
      <c r="K58" s="215" t="str">
        <v>Płyta melaminowana grubość 18mm</v>
      </c>
      <c r="AD58" s="215" t="str">
        <f ca="1"/>
        <v xml:space="preserve">MASTER SOFT </v>
      </c>
    </row>
    <row r="59" spans="1:46" s="215" customFormat="1" ht="14.85" hidden="1" customHeight="1">
      <c r="A59" s="198"/>
      <c r="B59" s="215" t="str">
        <v>Modena Czarny matowy - maksymalna zalecana długość profilu 2500 mm</v>
      </c>
      <c r="T59" s="215">
        <f>IFERROR(VLOOKUP($H$21,$T$54:$U$56,2,0),0)</f>
        <v>0</v>
      </c>
      <c r="AD59" s="215" t="str">
        <f ca="1"/>
        <v xml:space="preserve">MASTER FLEX </v>
      </c>
    </row>
    <row r="60" spans="1:46" s="215" customFormat="1" ht="14.85" hidden="1" customHeight="1">
      <c r="A60" s="198"/>
      <c r="B60" s="215" t="str">
        <v>Modena czarna szczotka - maksymalna zalecana długość profilu 2500 mm</v>
      </c>
      <c r="K60" s="215" t="b">
        <f>K56=K61</f>
        <v>0</v>
      </c>
      <c r="AD60" s="215" t="str">
        <f ca="1"/>
        <v xml:space="preserve">Master (Carre) </v>
      </c>
    </row>
    <row r="61" spans="1:46" s="215" customFormat="1" ht="14.85" hidden="1" customHeight="1">
      <c r="A61" s="198"/>
      <c r="B61" s="215" t="str">
        <v>Modena INOX (stal nierdzewna) - maksymalna zalecana długość profilu 2500 mm</v>
      </c>
      <c r="H61" s="215" t="str">
        <f>'Translate&amp;Prices&amp;Logo'!$B$186</f>
        <v>Dolne drzwi</v>
      </c>
      <c r="K61" s="215" t="str">
        <f>'Translate&amp;Prices&amp;Logo'!$B$231</f>
        <v>2 sztuki (obydwie strony)</v>
      </c>
      <c r="AD61" s="215" t="str">
        <f ca="1"/>
        <v xml:space="preserve">Master  Ligne poziomo </v>
      </c>
    </row>
    <row r="62" spans="1:46" s="215" customFormat="1" ht="14.85" hidden="1" customHeight="1">
      <c r="A62" s="198"/>
      <c r="B62" s="215" t="str">
        <v>Pisa (elox.) - maksymalna zalecana długość profilu 2500 mm</v>
      </c>
      <c r="AD62" s="215" t="str">
        <f ca="1"/>
        <v xml:space="preserve">Master  Ligne pionowo </v>
      </c>
    </row>
    <row r="63" spans="1:46" s="215" customFormat="1" ht="14.85" hidden="1" customHeight="1">
      <c r="A63" s="198"/>
      <c r="B63" s="215" t="str">
        <v>Pisa biały matowy RAL 9003 - maksymalna zalecana zalecana długość profilu 2500 mm</v>
      </c>
      <c r="AD63" s="215" t="str">
        <f ca="1"/>
        <v xml:space="preserve">Master  Point </v>
      </c>
    </row>
    <row r="64" spans="1:46" s="215" customFormat="1" ht="14.85" hidden="1" customHeight="1">
      <c r="A64" s="198"/>
      <c r="B64" s="215" t="str">
        <v>Pisa biały połysk RAL 9003 - maksymalna zalecana zalecana długość profilu 2500 mm</v>
      </c>
      <c r="AD64" s="215" t="str">
        <f ca="1"/>
        <v>Masterscreen - maksymalne wymiary 2160 x 1650 mm</v>
      </c>
    </row>
    <row r="65" spans="1:30" s="215" customFormat="1" ht="14.85" hidden="1" customHeight="1">
      <c r="A65" s="198"/>
      <c r="B65" s="215" t="str">
        <v>Pisa Czarny matowy - maksymalna zalecana długość profilu 2500 mm</v>
      </c>
      <c r="H65" s="74" t="str">
        <f>'rozpad závěsů bez prázdn. řádků'!$K$1</f>
        <v>krzyżakowy, wkręt</v>
      </c>
      <c r="I65" s="217">
        <v>6</v>
      </c>
      <c r="J65" s="73" t="e">
        <f>VLOOKUP($H$15,'rozpad závěsů bez prázdn. řádků'!$G$2:$X$66,I65,0)</f>
        <v>#N/A</v>
      </c>
      <c r="O65" s="215" t="str">
        <f t="array" ref="O65:O71">IF($H$15=kombinace_6!$AB$40,_strong_vzpera_horni,IF($H$15=kombinace_6!$AB$41,_stronglift_klopna,IF($H$12='závěsy dle výklopu'!$BQ$2,$J$65:$J$71,'Translate&amp;Prices&amp;Logo'!$B$185:$B$186)))</f>
        <v>Górne drzwi</v>
      </c>
      <c r="AD65" s="215" t="str">
        <f ca="1"/>
        <v xml:space="preserve">Venus VG10 </v>
      </c>
    </row>
    <row r="66" spans="1:30" s="215" customFormat="1" ht="14.85" hidden="1" customHeight="1">
      <c r="A66" s="198"/>
      <c r="B66" s="215" t="str">
        <v>Pisa złota - maksymalna zalecana długość profilu 2150 mm</v>
      </c>
      <c r="H66" s="74" t="str">
        <f>'rozpad závěsů bez prázdn. řádků'!$M$1</f>
        <v>na wkręt (z mimośrodem)</v>
      </c>
      <c r="I66" s="217">
        <v>8</v>
      </c>
      <c r="J66" s="73" t="e">
        <f>VLOOKUP($H$15,'rozpad závěsů bez prázdn. řádků'!$G$2:$X$66,I66,0)</f>
        <v>#N/A</v>
      </c>
      <c r="O66" s="215" t="str">
        <v>Dolne drzwi</v>
      </c>
      <c r="AD66" s="215" t="str">
        <f ca="1"/>
        <v>Stopsol brąz - maksymalne wymiary 2250 x 1605 mm</v>
      </c>
    </row>
    <row r="67" spans="1:30" s="215" customFormat="1" ht="14.85" hidden="1" customHeight="1">
      <c r="A67" s="198"/>
      <c r="B67" s="215" t="str">
        <v>Rocca (elox.) - maksymalna zalecana zalecana długość profilu 2150 mm</v>
      </c>
      <c r="H67" s="74" t="str">
        <f>'rozpad závěsů bez prázdn. řádků'!$O$1</f>
        <v>krzyżakowy eurowkręt</v>
      </c>
      <c r="I67" s="217">
        <v>10</v>
      </c>
      <c r="J67" s="73" t="e">
        <f>VLOOKUP($H$15,'rozpad závěsů bez prázdn. řádků'!$G$2:$X$66,I67,0)</f>
        <v>#N/A</v>
      </c>
      <c r="O67" s="215" t="e">
        <v>#N/A</v>
      </c>
      <c r="AD67" s="215" t="str">
        <f ca="1"/>
        <v xml:space="preserve">Antisol brąz </v>
      </c>
    </row>
    <row r="68" spans="1:30" s="215" customFormat="1" ht="14.85" hidden="1" customHeight="1">
      <c r="A68" s="198"/>
      <c r="B68" s="215" t="str">
        <v>Rocca czarny matowy - maksymalna zalecana zalecana długość profilu 2150 mm</v>
      </c>
      <c r="H68" s="74" t="str">
        <f>'rozpad závěsů bez prázdn. řádků'!$Q$1</f>
        <v>krzyżakowy expando</v>
      </c>
      <c r="I68" s="217">
        <v>12</v>
      </c>
      <c r="J68" s="73" t="e">
        <f>VLOOKUP($H$15,'rozpad závěsů bez prázdn. řádků'!$G$2:$X$66,I68,0)</f>
        <v>#N/A</v>
      </c>
      <c r="O68" s="215" t="e">
        <v>#N/A</v>
      </c>
      <c r="AD68" s="215" t="str">
        <f ca="1"/>
        <v xml:space="preserve">Antisol grafit </v>
      </c>
    </row>
    <row r="69" spans="1:30" s="215" customFormat="1" ht="14.85" hidden="1" customHeight="1">
      <c r="A69" s="198"/>
      <c r="B69" s="215" t="str">
        <v>Verona (elox.) - maksymalna zalecana zalecana długość profilu 2500 mm</v>
      </c>
      <c r="H69" s="74" t="str">
        <f>'rozpad závěsů bez prázdn. řádků'!$S$1</f>
        <v>prosty wkręt</v>
      </c>
      <c r="I69" s="217">
        <v>14</v>
      </c>
      <c r="J69" s="73" t="e">
        <f>VLOOKUP($H$15,'rozpad závěsů bez prázdn. řádků'!$G$2:$X$66,I69,0)</f>
        <v>#N/A</v>
      </c>
      <c r="O69" s="215" t="e">
        <v>#N/A</v>
      </c>
      <c r="AD69" s="215" t="str">
        <f ca="1"/>
        <v xml:space="preserve">Lustro </v>
      </c>
    </row>
    <row r="70" spans="1:30" s="215" customFormat="1" ht="14.85" hidden="1" customHeight="1">
      <c r="A70" s="198"/>
      <c r="B70" s="215" t="str">
        <v>Verona szczotkowany - maksymalna zalecana zalecana długość profilu 2500 mm</v>
      </c>
      <c r="H70" s="74" t="str">
        <f>'rozpad závěsů bez prázdn. řádků'!$U$1</f>
        <v>prosty eurowkręt</v>
      </c>
      <c r="I70" s="217">
        <v>16</v>
      </c>
      <c r="J70" s="73" t="e">
        <f>VLOOKUP($H$15,'rozpad závěsů bez prázdn. řádků'!$G$2:$X$66,I70,0)</f>
        <v>#N/A</v>
      </c>
      <c r="O70" s="215" t="e">
        <v>#N/A</v>
      </c>
      <c r="AD70" s="215" t="str">
        <f ca="1"/>
        <v xml:space="preserve">Lustro brązowe </v>
      </c>
    </row>
    <row r="71" spans="1:30" s="215" customFormat="1" ht="14.85" hidden="1" customHeight="1">
      <c r="A71" s="198"/>
      <c r="B71" s="215" t="str">
        <v>Verona czarny matowy - maksymalna zalecana zalecana długość profilu 2500 mm</v>
      </c>
      <c r="H71" s="74" t="str">
        <f>'rozpad závěsů bez prázdn. řádků'!$W$1</f>
        <v>prosty expando</v>
      </c>
      <c r="I71" s="217">
        <v>18</v>
      </c>
      <c r="J71" s="73" t="e">
        <f>VLOOKUP($H$15,'rozpad závěsů bez prázdn. řádků'!$G$2:$X$66,I71,0)</f>
        <v>#N/A</v>
      </c>
      <c r="O71" s="215" t="e">
        <v>#N/A</v>
      </c>
      <c r="AD71" s="215" t="str">
        <f ca="1"/>
        <v xml:space="preserve">Lustro grafit </v>
      </c>
    </row>
    <row r="72" spans="1:30" s="215" customFormat="1" ht="14.85" hidden="1" customHeight="1">
      <c r="A72" s="198"/>
      <c r="B72" s="215" t="str">
        <v>Verona czarny połysk - maksymalna zalecana zalecana długość profilu 2500 mm</v>
      </c>
      <c r="AD72" s="215" t="str">
        <f ca="1"/>
        <v xml:space="preserve">VISIOSUN poziomo </v>
      </c>
    </row>
    <row r="73" spans="1:30" s="215" customFormat="1" ht="14.85" hidden="1" customHeight="1">
      <c r="A73" s="198"/>
      <c r="B73" s="215" t="str">
        <v>Verona braz - maksymalna zalecana zalecana długość profilu 2500 mm</v>
      </c>
      <c r="AD73" s="215" t="str">
        <f ca="1"/>
        <v xml:space="preserve">VISIOSUN pionowo </v>
      </c>
    </row>
    <row r="74" spans="1:30" s="215" customFormat="1" ht="14.85" hidden="1" customHeight="1">
      <c r="A74" s="198"/>
      <c r="B74" s="215" t="str">
        <v>Verona szampański - maksymalna zalecana zalecana długość profilu 2500 mm</v>
      </c>
      <c r="AD74" s="215" t="str">
        <f ca="1"/>
        <v xml:space="preserve">VISIOSUN satyna poziomo </v>
      </c>
    </row>
    <row r="75" spans="1:30" s="215" customFormat="1" ht="14.85" hidden="1" customHeight="1">
      <c r="A75" s="198"/>
      <c r="B75" s="215" t="str">
        <v>Verona Inox szczotkowany - maksymalna zalecana zalecana długość profilu 2500 mm</v>
      </c>
      <c r="AD75" s="215" t="str">
        <f ca="1"/>
        <v xml:space="preserve">VISIOSUN satyna pionowo </v>
      </c>
    </row>
    <row r="76" spans="1:30" s="215" customFormat="1" ht="14.85" hidden="1" customHeight="1">
      <c r="A76" s="198"/>
      <c r="B76" s="215" t="str">
        <v>Verona Inox Acier szczotkowany - maksymalna zalecana zalecana długość profilu 2500 mm</v>
      </c>
      <c r="AD76" s="215" t="str">
        <f ca="1"/>
        <v>Krizet - maksymalne wymiary 2130 x 1650 mm</v>
      </c>
    </row>
    <row r="77" spans="1:30" s="215" customFormat="1" ht="14.85" hidden="1" customHeight="1">
      <c r="A77" s="198"/>
      <c r="B77" s="215" t="str">
        <v>Verona złota - maksymalna zalecana długość profilu 2150 mm</v>
      </c>
      <c r="AD77" s="215" t="str">
        <f ca="1"/>
        <v xml:space="preserve">FLUTES pionowo </v>
      </c>
    </row>
    <row r="78" spans="1:30" s="215" customFormat="1" ht="14.85" hidden="1" customHeight="1">
      <c r="A78" s="198"/>
      <c r="B78" s="215" t="str">
        <v>Verona złota szczotkowany - maksymalna zalecana zalecana długość profilu 2150 mm</v>
      </c>
      <c r="AD78" s="215" t="str">
        <f ca="1"/>
        <v xml:space="preserve">FLUTES poziomo </v>
      </c>
    </row>
    <row r="79" spans="1:30" s="215" customFormat="1" ht="14.85" hidden="1" customHeight="1">
      <c r="A79" s="198"/>
      <c r="B79" s="215" t="str">
        <v>Vivaro (elox.) - maksymalna zalecana zalecana długość profilu 2500 mm</v>
      </c>
      <c r="AD79" s="215" t="str">
        <f ca="1"/>
        <v xml:space="preserve">Lakomat </v>
      </c>
    </row>
    <row r="80" spans="1:30" s="215" customFormat="1" ht="14.85" hidden="1" customHeight="1">
      <c r="A80" s="198"/>
      <c r="B80" s="215" t="str">
        <v>Vivaro czarny matowy - maksymalna zalecana zalecana długość profilu 2500 mm</v>
      </c>
      <c r="AD80" s="215" t="str">
        <f ca="1"/>
        <v xml:space="preserve">Lacobel RAL 1013 </v>
      </c>
    </row>
    <row r="81" spans="1:38" s="215" customFormat="1" ht="14.85" hidden="1" customHeight="1">
      <c r="A81" s="198"/>
      <c r="B81" s="215" t="str">
        <v>Vivaro INOX (stal nierdzewna) - maksymalna zalecana zalecana długość profilu 2500 mm</v>
      </c>
      <c r="AD81" s="215" t="str">
        <f ca="1"/>
        <v xml:space="preserve">Lacobel RAL 1015 </v>
      </c>
    </row>
    <row r="82" spans="1:38" s="215" customFormat="1" ht="14.85" hidden="1" customHeight="1">
      <c r="A82" s="198"/>
      <c r="B82" s="215" t="str">
        <v>Vivaro biały matowy RAL 9003 - maksymalna zalecana zalecana długość profilu 2500 mm</v>
      </c>
      <c r="P82" s="215" t="str">
        <f>IF(OR(H8=kombinace_1!F18,H8=kombinace_1!F19,H8=kombinace_1!A55,H8=kombinace_1!A56,H8=kombinace_1!A57,H8=kombinace_1!A58),"_2_strany",IF(H15=kombinace_1!AB8,"_ramena_HL","_4_strany"))</f>
        <v>_4_strany</v>
      </c>
      <c r="AD82" s="215" t="str">
        <f ca="1"/>
        <v xml:space="preserve">Lacobel RAL 7035 </v>
      </c>
    </row>
    <row r="83" spans="1:38" ht="14.85" hidden="1" customHeight="1">
      <c r="B83" s="196" t="str">
        <v>Vivaro biały połysk RAL 9003 - maksymalna zalecana zalecana długość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 xml:space="preserve">Lacobel RAL 9003 </v>
      </c>
      <c r="AE83" s="206"/>
      <c r="AF83" s="206"/>
      <c r="AG83" s="206"/>
      <c r="AH83" s="206"/>
      <c r="AI83" s="208"/>
      <c r="AJ83" s="208"/>
      <c r="AK83" s="208"/>
      <c r="AL83" s="208"/>
    </row>
    <row r="84" spans="1:38" ht="14.85" hidden="1" customHeight="1">
      <c r="B84" s="196" t="str">
        <v>Vivaro złota - maksymalna zalecana zalecana długość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 xml:space="preserve">Lacobel RAL 9005 </v>
      </c>
      <c r="AE84" s="206"/>
      <c r="AF84" s="206"/>
      <c r="AG84" s="206"/>
      <c r="AH84" s="206"/>
      <c r="AI84" s="208"/>
      <c r="AJ84" s="208"/>
      <c r="AK84" s="208"/>
      <c r="AL84" s="208"/>
    </row>
    <row r="85" spans="1:38" ht="14.85" hidden="1" customHeight="1">
      <c r="B85" s="196" t="str">
        <v>Vivaro złota szczotkowany - maksymalna zalecana zalecana długość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 xml:space="preserve">Lacobel RAL 9006 </v>
      </c>
      <c r="AE85" s="206"/>
      <c r="AF85" s="206"/>
      <c r="AG85" s="206"/>
      <c r="AH85" s="206"/>
      <c r="AI85" s="208"/>
      <c r="AJ85" s="208"/>
      <c r="AK85" s="208"/>
      <c r="AL85" s="208"/>
    </row>
    <row r="86" spans="1:38" ht="14.85" hidden="1" customHeight="1">
      <c r="B86" s="196" t="str">
        <v>Rocca elox (lewa i prawa) + Varna elox (góra i dół)</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 xml:space="preserve">Lacobel RAL 9007 </v>
      </c>
      <c r="AE86" s="206"/>
      <c r="AF86" s="206"/>
      <c r="AG86" s="206"/>
      <c r="AH86" s="206"/>
      <c r="AI86" s="208"/>
      <c r="AJ86" s="208"/>
      <c r="AK86" s="208"/>
      <c r="AL86" s="208"/>
    </row>
    <row r="87" spans="1:38" ht="14.85" hidden="1" customHeight="1">
      <c r="B87" s="196" t="str">
        <v>Rocca czarny (lewa i prawa) + Varna czarny (góra i dół)</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 xml:space="preserve">Lacobel RAL 9010 </v>
      </c>
      <c r="AE87" s="206"/>
      <c r="AF87" s="206"/>
      <c r="AG87" s="206"/>
      <c r="AH87" s="206"/>
      <c r="AI87" s="208"/>
      <c r="AJ87" s="208"/>
      <c r="AK87" s="208"/>
      <c r="AL87" s="208"/>
    </row>
    <row r="88" spans="1:38" ht="14.85" hidden="1" customHeight="1">
      <c r="B88" s="196" t="str">
        <v>ROMA czarna matowa -  maksymalna zalecana długość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9003 </v>
      </c>
      <c r="AE88" s="206"/>
      <c r="AF88" s="206"/>
      <c r="AG88" s="206"/>
      <c r="AH88" s="206"/>
      <c r="AI88" s="208"/>
      <c r="AJ88" s="208"/>
      <c r="AK88" s="208"/>
      <c r="AL88" s="208"/>
    </row>
    <row r="89" spans="1:38" ht="14.85" hidden="1" customHeight="1">
      <c r="B89" s="196" t="str">
        <v>ROMA champagne mat - maksymalna zalecana długość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 xml:space="preserve">Matelac RAL 9005 </v>
      </c>
      <c r="AE89" s="206"/>
      <c r="AF89" s="206"/>
      <c r="AG89" s="206"/>
      <c r="AH89" s="206"/>
      <c r="AI89" s="208"/>
      <c r="AJ89" s="208"/>
      <c r="AK89" s="208"/>
      <c r="AL89" s="208"/>
    </row>
    <row r="90" spans="1:38" ht="14.85" hidden="1" customHeight="1">
      <c r="B90" s="196" t="str">
        <v>ROMA GRIP czarna matowa - maksymalna zalecana długość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lustro bronz</v>
      </c>
      <c r="AE90" s="206"/>
      <c r="AF90" s="206"/>
      <c r="AG90" s="206"/>
      <c r="AH90" s="206"/>
      <c r="AI90" s="208"/>
      <c r="AJ90" s="208"/>
      <c r="AK90" s="208"/>
      <c r="AL90" s="208"/>
    </row>
    <row r="91" spans="1:38" ht="14.85" hidden="1" customHeight="1">
      <c r="B91" s="196" t="str">
        <v>ROMA GRIP champagne mat - maksymalna zalecana długość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lustro grafit</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lustro srebrny</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 xml:space="preserve">Moru brąz pionowo </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 xml:space="preserve">Moru grafit pionowo </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 xml:space="preserve">Moru brąz poziomo </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 xml:space="preserve">Moru grafit poziomo </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VXsupV+up2Wme/OgIeQFkfNdUMzNTar1YCm+QA2VCanPQMpDzApIVkS27PN/NMm8/aptB9dxThOxsT79T9+wWQ==" saltValue="cTSR/1Eff30JEHxOLvbhzg==" spinCount="100000" sheet="1" objects="1" scenarios="1"/>
  <protectedRanges>
    <protectedRange sqref="G7 I7:R7" name="Oblast1_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04" priority="24" operator="equal">
      <formula>$A$2</formula>
    </cfRule>
  </conditionalFormatting>
  <conditionalFormatting sqref="B16:I16">
    <cfRule type="expression" dxfId="403" priority="45">
      <formula>$AU$19=0</formula>
    </cfRule>
  </conditionalFormatting>
  <conditionalFormatting sqref="B9:Q9">
    <cfRule type="expression" dxfId="402" priority="30">
      <formula>$B$9=0</formula>
    </cfRule>
  </conditionalFormatting>
  <conditionalFormatting sqref="B11:Q11">
    <cfRule type="expression" dxfId="401" priority="44">
      <formula>$AU$10=0</formula>
    </cfRule>
  </conditionalFormatting>
  <conditionalFormatting sqref="B14:Q14">
    <cfRule type="expression" dxfId="400" priority="29">
      <formula>$B$14=0</formula>
    </cfRule>
  </conditionalFormatting>
  <conditionalFormatting sqref="B17:Q17">
    <cfRule type="expression" dxfId="399" priority="28">
      <formula>$B$17=0</formula>
    </cfRule>
  </conditionalFormatting>
  <conditionalFormatting sqref="B18:Q18">
    <cfRule type="expression" dxfId="398" priority="14" stopIfTrue="1">
      <formula>$B$18=0</formula>
    </cfRule>
    <cfRule type="expression" dxfId="397" priority="17">
      <formula>$F$16=$H$61</formula>
    </cfRule>
  </conditionalFormatting>
  <conditionalFormatting sqref="B19:Q19">
    <cfRule type="expression" dxfId="396" priority="27">
      <formula>$B$19=0</formula>
    </cfRule>
  </conditionalFormatting>
  <conditionalFormatting sqref="B20:Q20">
    <cfRule type="expression" dxfId="395" priority="26">
      <formula>$B$19=0</formula>
    </cfRule>
    <cfRule type="expression" dxfId="394" priority="25">
      <formula>$B$20=0</formula>
    </cfRule>
  </conditionalFormatting>
  <conditionalFormatting sqref="B21:Q21">
    <cfRule type="expression" dxfId="393" priority="6">
      <formula>$B$21=" "</formula>
    </cfRule>
  </conditionalFormatting>
  <conditionalFormatting sqref="B24:Q24">
    <cfRule type="expression" dxfId="392" priority="19" stopIfTrue="1">
      <formula>$T$59&lt;3</formula>
    </cfRule>
  </conditionalFormatting>
  <conditionalFormatting sqref="H23">
    <cfRule type="expression" dxfId="391" priority="31">
      <formula>$H$25&gt;0</formula>
    </cfRule>
  </conditionalFormatting>
  <conditionalFormatting sqref="H10:L11">
    <cfRule type="expression" dxfId="390" priority="23">
      <formula>$AU$10=2</formula>
    </cfRule>
  </conditionalFormatting>
  <conditionalFormatting sqref="H10:Q10">
    <cfRule type="expression" dxfId="389" priority="22">
      <formula>$AU$10=0</formula>
    </cfRule>
  </conditionalFormatting>
  <conditionalFormatting sqref="H22:Q22 B22:G23">
    <cfRule type="expression" dxfId="388" priority="20">
      <formula>$AS$33=1</formula>
    </cfRule>
  </conditionalFormatting>
  <conditionalFormatting sqref="J16:M16">
    <cfRule type="expression" dxfId="387" priority="16" stopIfTrue="1">
      <formula>$K$60=TRUE</formula>
    </cfRule>
  </conditionalFormatting>
  <conditionalFormatting sqref="J16:N16">
    <cfRule type="expression" dxfId="386" priority="18" stopIfTrue="1">
      <formula>$AV$19=0</formula>
    </cfRule>
  </conditionalFormatting>
  <conditionalFormatting sqref="M10:Q11">
    <cfRule type="expression" dxfId="385" priority="21">
      <formula>$AU$10=1</formula>
    </cfRule>
  </conditionalFormatting>
  <conditionalFormatting sqref="N16:Q16">
    <cfRule type="expression" dxfId="384" priority="15" stopIfTrue="1">
      <formula>$K$60=TRUE</formula>
    </cfRule>
  </conditionalFormatting>
  <conditionalFormatting sqref="P29:Q29">
    <cfRule type="expression" dxfId="383" priority="1">
      <formula>$U$41=2</formula>
    </cfRule>
  </conditionalFormatting>
  <conditionalFormatting sqref="AA9:AA10 AA24:AA25">
    <cfRule type="expression" dxfId="382" priority="10" stopIfTrue="1">
      <formula>$AU$17=1</formula>
    </cfRule>
  </conditionalFormatting>
  <conditionalFormatting sqref="AA16:AA17">
    <cfRule type="expression" dxfId="381" priority="5" stopIfTrue="1">
      <formula>$AU$24="1_3"</formula>
    </cfRule>
  </conditionalFormatting>
  <conditionalFormatting sqref="AB6 AA6:AA7 AA27 AA28:AB28">
    <cfRule type="expression" dxfId="380" priority="4" stopIfTrue="1">
      <formula>$AV$17=1</formula>
    </cfRule>
  </conditionalFormatting>
  <conditionalFormatting sqref="AB29:AO29">
    <cfRule type="cellIs" dxfId="379" priority="2" operator="equal">
      <formula>0</formula>
    </cfRule>
  </conditionalFormatting>
  <conditionalFormatting sqref="AC6:AD6 AM6:AN6">
    <cfRule type="expression" dxfId="378" priority="12" stopIfTrue="1">
      <formula>$AU$17=3</formula>
    </cfRule>
  </conditionalFormatting>
  <conditionalFormatting sqref="AC25:AD25 AJ26:AJ27">
    <cfRule type="expression" dxfId="377" priority="39">
      <formula>$AU$25=4</formula>
    </cfRule>
  </conditionalFormatting>
  <conditionalFormatting sqref="AC28:AD28 AM28:AN28">
    <cfRule type="expression" dxfId="376" priority="11" stopIfTrue="1">
      <formula>$AU$17=4</formula>
    </cfRule>
  </conditionalFormatting>
  <conditionalFormatting sqref="AC8:AG8">
    <cfRule type="expression" dxfId="375" priority="43">
      <formula>$AU$25=3</formula>
    </cfRule>
  </conditionalFormatting>
  <conditionalFormatting sqref="AC24:AG24">
    <cfRule type="expression" dxfId="374" priority="40">
      <formula>$AU$25=4</formula>
    </cfRule>
  </conditionalFormatting>
  <conditionalFormatting sqref="AD10:AD12 AB19:AC19">
    <cfRule type="expression" dxfId="373" priority="33">
      <formula>$AU$25=1</formula>
    </cfRule>
  </conditionalFormatting>
  <conditionalFormatting sqref="AD14:AD21">
    <cfRule type="expression" dxfId="372" priority="32">
      <formula>$AU$25=1</formula>
    </cfRule>
  </conditionalFormatting>
  <conditionalFormatting sqref="AE10:AE16">
    <cfRule type="expression" dxfId="371" priority="41">
      <formula>$AU$25=1</formula>
    </cfRule>
  </conditionalFormatting>
  <conditionalFormatting sqref="AF9:AK9">
    <cfRule type="expression" dxfId="370" priority="36">
      <formula>$AU$25=3</formula>
    </cfRule>
  </conditionalFormatting>
  <conditionalFormatting sqref="AF25:AK25">
    <cfRule type="expression" dxfId="369" priority="38">
      <formula>$AU$25=4</formula>
    </cfRule>
  </conditionalFormatting>
  <conditionalFormatting sqref="AG6:AH6">
    <cfRule type="expression" dxfId="368" priority="8" stopIfTrue="1">
      <formula>$AU$24="3_3"</formula>
    </cfRule>
  </conditionalFormatting>
  <conditionalFormatting sqref="AG28:AH28">
    <cfRule type="expression" dxfId="367" priority="7" stopIfTrue="1">
      <formula>$AU$24="4_3"</formula>
    </cfRule>
  </conditionalFormatting>
  <conditionalFormatting sqref="AJ7:AJ8 AC9:AD9">
    <cfRule type="expression" dxfId="366" priority="37">
      <formula>$AU$25=3</formula>
    </cfRule>
  </conditionalFormatting>
  <conditionalFormatting sqref="AL19:AL25">
    <cfRule type="expression" dxfId="365" priority="42">
      <formula>$AU$25=2</formula>
    </cfRule>
  </conditionalFormatting>
  <conditionalFormatting sqref="AM14:AM21">
    <cfRule type="expression" dxfId="364" priority="34">
      <formula>$AU$25=2</formula>
    </cfRule>
  </conditionalFormatting>
  <conditionalFormatting sqref="AN19:AO19 AM23:AM25">
    <cfRule type="expression" dxfId="363" priority="35">
      <formula>$AU$25=2</formula>
    </cfRule>
  </conditionalFormatting>
  <conditionalFormatting sqref="AO6 AP6:AP7 AP27 AO28:AP28">
    <cfRule type="expression" dxfId="362" priority="3" stopIfTrue="1">
      <formula>$AV$17=2</formula>
    </cfRule>
  </conditionalFormatting>
  <conditionalFormatting sqref="AP9:AP10 AP24:AP25">
    <cfRule type="expression" dxfId="361" priority="9" stopIfTrue="1">
      <formula>$AU$17=2</formula>
    </cfRule>
  </conditionalFormatting>
  <conditionalFormatting sqref="AP16:AP17">
    <cfRule type="expression" dxfId="360" priority="13" stopIfTrue="1">
      <formula>$AU$24="2_3"</formula>
    </cfRule>
  </conditionalFormatting>
  <dataValidations count="20">
    <dataValidation type="whole" allowBlank="1" showInputMessage="1" showErrorMessage="1" sqref="H11:L11" xr:uid="{D58597C7-4E9C-4DD1-9D3E-7EE40010F878}">
      <formula1>1</formula1>
      <formula2>(AR14/100)-1</formula2>
    </dataValidation>
    <dataValidation type="whole" allowBlank="1" showInputMessage="1" showErrorMessage="1" sqref="M11:Q11" xr:uid="{CE86DD11-0510-4F11-A5EB-290164486CAC}">
      <formula1>1</formula1>
      <formula2>(AI30/100)-1</formula2>
    </dataValidation>
    <dataValidation type="whole" allowBlank="1" showInputMessage="1" showErrorMessage="1" errorTitle="Minimum 80 mm" sqref="F20:I20 N20:Q20" xr:uid="{3ECA95F3-C46A-4B3F-874D-D6A4F8A9C713}">
      <formula1>80</formula1>
      <formula2>1300</formula2>
    </dataValidation>
    <dataValidation type="whole" operator="greaterThanOrEqual" allowBlank="1" showInputMessage="1" showErrorMessage="1" sqref="H26:Q26" xr:uid="{076100CF-F2E8-4791-A71E-642E3B15424A}">
      <formula1>1</formula1>
    </dataValidation>
    <dataValidation type="list" allowBlank="1" showInputMessage="1" showErrorMessage="1" sqref="H12:Q12" xr:uid="{15ACE567-6FC4-4B62-B76B-F6108FBB30BA}">
      <formula1>$L$36:$M$36</formula1>
    </dataValidation>
    <dataValidation type="list" allowBlank="1" showInputMessage="1" showErrorMessage="1" sqref="H24:Q24" xr:uid="{A4B989E3-8600-4A94-A794-63300CE73D4C}">
      <formula1>$X$54:$X$56</formula1>
    </dataValidation>
    <dataValidation type="list" allowBlank="1" showInputMessage="1" showErrorMessage="1" sqref="H21:Q21" xr:uid="{D50EDC7D-3CD0-44C3-BBE3-4FD78F15F70E}">
      <formula1>$T$54:$T$56</formula1>
    </dataValidation>
    <dataValidation type="list" allowBlank="1" showInputMessage="1" showErrorMessage="1" sqref="H14:Q14" xr:uid="{5A38683B-D683-4AEE-B39A-6203FA621041}">
      <formula1>$P$36:$P$38</formula1>
    </dataValidation>
    <dataValidation type="list" allowBlank="1" showInputMessage="1" showErrorMessage="1" sqref="H19:Q19" xr:uid="{24405B55-7B40-48BF-849F-732128B1A15D}">
      <formula1>IF(H13="Salice",$AJ$36,($AJ$36:$AJ$40))</formula1>
    </dataValidation>
    <dataValidation type="list" allowBlank="1" showInputMessage="1" showErrorMessage="1" sqref="H18:Q18" xr:uid="{1423D821-9050-45C7-8C30-87686753C3CD}">
      <formula1>$AF$36:$AF$41</formula1>
    </dataValidation>
    <dataValidation type="list" allowBlank="1" showInputMessage="1" showErrorMessage="1" sqref="N16:Q16" xr:uid="{AF487C10-E3E6-4FD6-B59E-BE44E2A53837}">
      <formula1>$K$54:$K$58</formula1>
    </dataValidation>
    <dataValidation type="list" allowBlank="1" showInputMessage="1" showErrorMessage="1" sqref="H13:Q13" xr:uid="{B1D828DA-722B-4A7D-B16C-CFC87F8C657F}">
      <formula1>IF(M38="Salice",$L$38,$L$38:$L$42)</formula1>
    </dataValidation>
    <dataValidation type="list" allowBlank="1" showInputMessage="1" showErrorMessage="1" sqref="H15:Q15" xr:uid="{5B9F55C7-B180-4FDA-8ED0-27F3CB5E14CE}">
      <formula1>$T$36:$T$44</formula1>
    </dataValidation>
    <dataValidation type="list" allowBlank="1" showInputMessage="1" showErrorMessage="1" sqref="F16:I16" xr:uid="{451A9230-8A7E-42E6-95F5-97DB205E96BE}">
      <formula1>$O$65:$O$71</formula1>
    </dataValidation>
    <dataValidation type="list" allowBlank="1" showInputMessage="1" showErrorMessage="1" sqref="H17:Q17" xr:uid="{69DD8C15-9EC4-4D5C-A095-A97047AD4BCA}">
      <formula1>INDIRECT($P$82)</formula1>
    </dataValidation>
    <dataValidation type="whole" operator="lessThan" showInputMessage="1" showErrorMessage="1" sqref="AI30:AK30" xr:uid="{E87D6835-4DC0-4DDA-86D2-EB1EDB5AC7DF}">
      <formula1>IF(AR14&lt;AI43+1,AJ43+1,AI43+1)</formula1>
    </dataValidation>
    <dataValidation type="whole" operator="lessThan" showErrorMessage="1" sqref="AR14:AR18" xr:uid="{6C3B2DF9-84C4-4BEA-A1ED-DA5BCE341D86}">
      <formula1>IF(AI30&lt;AI43+1,AJ43+1,AI43+1)</formula1>
    </dataValidation>
    <dataValidation type="list" allowBlank="1" showInputMessage="1" showErrorMessage="1" sqref="P29:Q29" xr:uid="{6D344F1A-0755-4817-BB4B-B7F39FE894AA}">
      <formula1>$W$37:$W$38</formula1>
    </dataValidation>
    <dataValidation type="list" allowBlank="1" showInputMessage="1" showErrorMessage="1" sqref="H25:Q25" xr:uid="{7B379EF9-AC90-40AD-A0E5-C551104D71AA}">
      <formula1>$AD$54:$AD$97</formula1>
    </dataValidation>
    <dataValidation type="list" allowBlank="1" showInputMessage="1" showErrorMessage="1" sqref="H8:Q8" xr:uid="{5F754AFA-1758-4B1F-9487-22670C63BE71}">
      <formula1>B36:B91</formula1>
    </dataValidation>
  </dataValidations>
  <hyperlinks>
    <hyperlink ref="AP2:AS3" location="Hlavní!A1" display="Hlavní!A1" xr:uid="{C90996B7-6320-4728-922E-66C353B8A9AB}"/>
    <hyperlink ref="F5:H5" location="Ram_2!A1" display="Ram_2!A1" xr:uid="{6E8D144A-12C5-4772-84AA-2455C53974BD}"/>
    <hyperlink ref="N5:P5" location="Ram_4!A1" display="Ram_4!A1" xr:uid="{014E4388-B952-4E74-816C-F06164DC746C}"/>
    <hyperlink ref="R5:T5" location="Ram_5!A1" display="Ram_5!A1" xr:uid="{E51A0924-FB11-44DB-B34D-4ED46828AC49}"/>
    <hyperlink ref="V5:X5" location="Ram_6!A1" display="Ram_6!A1" xr:uid="{3540A473-EF78-48C5-ABC9-EC9859704677}"/>
    <hyperlink ref="B5:D5" location="Ram_1!A1" display="Ram_1!A1" xr:uid="{1F56261A-6AA9-4A9E-A091-6BF921484F57}"/>
    <hyperlink ref="AO31:AR32" location="_souhrn!A1" display="_souhrn!A1" xr:uid="{2F7AAFC7-41F1-41AF-9CB9-BF47259F66CB}"/>
    <hyperlink ref="J5:L5" location="Ram_3!A1" display="Ram_3!A1" xr:uid="{0F077220-F85C-4BE6-B889-56FE6CD0E67E}"/>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57150</xdr:colOff>
                    <xdr:row>6</xdr:row>
                    <xdr:rowOff>171450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6CAA2FCE-F8B3-4B91-A0A9-C0884FEC826A}">
          <x14:formula1>
            <xm:f>'závěsy dle výklopu'!$BW$2:$BW$5</xm:f>
          </x14:formula1>
          <xm:sqref>H27:Q27</xm:sqref>
        </x14:dataValidation>
        <x14:dataValidation type="list" allowBlank="1" showInputMessage="1" showErrorMessage="1" xr:uid="{3C58EE0E-B96A-4028-BC75-F0445471CD6F}">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workbookViewId="0">
      <selection activeCell="K13" sqref="K13:P13"/>
    </sheetView>
  </sheetViews>
  <sheetFormatPr defaultColWidth="0" defaultRowHeight="15" zeroHeight="1"/>
  <cols>
    <col min="1" max="3" width="8.5703125" style="1" customWidth="1"/>
    <col min="4" max="4" width="6.5703125" style="1" customWidth="1"/>
    <col min="5" max="9" width="8.5703125" style="1" customWidth="1"/>
    <col min="10" max="10" width="3.140625" style="1" customWidth="1"/>
    <col min="11" max="12" width="9.85546875" style="1" customWidth="1"/>
    <col min="13" max="16" width="8.5703125" style="1" customWidth="1"/>
    <col min="17" max="17" width="6.5703125" style="1" customWidth="1"/>
    <col min="18" max="19" width="8.5703125" style="1" customWidth="1"/>
    <col min="20" max="20" width="10.5703125" style="1" customWidth="1"/>
    <col min="21" max="16384" width="8.5703125" style="1" hidden="1"/>
  </cols>
  <sheetData>
    <row r="1" spans="1:23">
      <c r="A1" s="81"/>
      <c r="B1" s="81"/>
      <c r="C1" s="81"/>
      <c r="D1" s="81"/>
      <c r="E1" s="81"/>
      <c r="F1" s="81"/>
      <c r="G1" s="81"/>
      <c r="H1" s="81"/>
      <c r="I1" s="81"/>
      <c r="J1" s="81"/>
      <c r="K1" s="81"/>
      <c r="L1" s="81"/>
      <c r="M1" s="81"/>
      <c r="N1" s="81"/>
      <c r="O1" s="81"/>
    </row>
    <row r="2" spans="1:23">
      <c r="A2" s="82"/>
      <c r="B2" s="82"/>
      <c r="C2" s="82"/>
      <c r="D2" s="82"/>
      <c r="E2" s="82"/>
      <c r="F2" s="82"/>
      <c r="G2" s="82"/>
      <c r="H2" s="82"/>
      <c r="I2" s="82"/>
      <c r="J2" s="82"/>
      <c r="K2" s="82"/>
      <c r="L2" s="82"/>
      <c r="M2" s="82"/>
      <c r="N2" s="82"/>
      <c r="O2" s="82"/>
      <c r="P2" s="27"/>
      <c r="Q2" s="547" t="str">
        <f>'Translate&amp;Prices&amp;Logo'!$B$540</f>
        <v>Wprowadzenie</v>
      </c>
      <c r="R2" s="548"/>
      <c r="S2" s="548"/>
      <c r="T2" s="548"/>
    </row>
    <row r="3" spans="1:23">
      <c r="A3" s="82"/>
      <c r="B3" s="82"/>
      <c r="C3" s="82"/>
      <c r="D3" s="82"/>
      <c r="E3" s="82"/>
      <c r="F3" s="82"/>
      <c r="G3" s="82"/>
      <c r="H3" s="82"/>
      <c r="I3" s="82"/>
      <c r="J3" s="82"/>
      <c r="K3" s="82"/>
      <c r="L3" s="82"/>
      <c r="M3" s="82"/>
      <c r="N3" s="82"/>
      <c r="O3" s="82"/>
      <c r="P3" s="27"/>
      <c r="Q3" s="547"/>
      <c r="R3" s="548"/>
      <c r="S3" s="548"/>
      <c r="T3" s="548"/>
    </row>
    <row r="4" spans="1:23">
      <c r="A4" s="81"/>
      <c r="B4" s="81"/>
      <c r="C4" s="81"/>
      <c r="D4" s="81"/>
      <c r="E4" s="81"/>
      <c r="F4" s="81"/>
      <c r="G4" s="81"/>
      <c r="H4" s="81"/>
      <c r="I4" s="81"/>
    </row>
    <row r="5" spans="1:23">
      <c r="A5" s="81"/>
      <c r="B5" s="81"/>
      <c r="C5" s="81"/>
      <c r="D5" s="81"/>
      <c r="E5" s="81"/>
      <c r="F5" s="3" t="str">
        <f>'Translate&amp;Prices&amp;Logo'!$B$302</f>
        <v>Zawsze korzystaj z aktualnej wersji formularza, który jest umieszczony na naszej stronie web.</v>
      </c>
      <c r="G5" s="81"/>
      <c r="H5" s="81"/>
    </row>
    <row r="6" spans="1:23">
      <c r="I6" s="346"/>
      <c r="J6" s="346"/>
      <c r="K6" s="346"/>
      <c r="L6" s="346"/>
      <c r="M6" s="346"/>
      <c r="N6" s="346"/>
      <c r="O6" s="346"/>
      <c r="P6" s="346"/>
      <c r="Q6" s="346"/>
      <c r="R6" s="346"/>
      <c r="S6" s="346"/>
      <c r="T6" s="346"/>
      <c r="U6" s="346"/>
      <c r="V6" s="346"/>
      <c r="W6" s="346"/>
    </row>
    <row r="7" spans="1:23"/>
    <row r="8" spans="1:23" ht="11.1" customHeight="1"/>
    <row r="9" spans="1:23" ht="11.1" customHeight="1">
      <c r="E9" s="115"/>
    </row>
    <row r="10" spans="1:23" ht="12" customHeight="1">
      <c r="E10" s="115" t="str">
        <f>'Translate&amp;Prices&amp;Logo'!B306</f>
        <v>Wpisz proszę dane kontaktowe i kliknij w odpowiednie okienko poniżej.</v>
      </c>
    </row>
    <row r="11" spans="1:23">
      <c r="E11" s="558"/>
      <c r="F11" s="558"/>
      <c r="G11" s="558"/>
      <c r="H11" s="558"/>
      <c r="I11" s="558"/>
      <c r="J11" s="67"/>
      <c r="K11" s="559"/>
      <c r="L11" s="559"/>
      <c r="M11" s="559"/>
      <c r="N11" s="559"/>
      <c r="O11" s="559"/>
      <c r="P11" s="559"/>
    </row>
    <row r="12" spans="1:23"/>
    <row r="13" spans="1:23">
      <c r="E13" s="549" t="str">
        <f>'Translate&amp;Prices&amp;Logo'!$B$249</f>
        <v>Klient</v>
      </c>
      <c r="F13" s="549"/>
      <c r="G13" s="549"/>
      <c r="H13" s="549"/>
      <c r="I13" s="549"/>
      <c r="K13" s="560"/>
      <c r="L13" s="560"/>
      <c r="M13" s="560"/>
      <c r="N13" s="560"/>
      <c r="O13" s="560"/>
      <c r="P13" s="560"/>
    </row>
    <row r="14" spans="1:23">
      <c r="K14" s="65"/>
      <c r="L14" s="65"/>
      <c r="M14" s="65"/>
      <c r="N14" s="65"/>
      <c r="O14" s="65"/>
      <c r="P14" s="65"/>
    </row>
    <row r="15" spans="1:23">
      <c r="E15" s="549" t="str">
        <f>'Translate&amp;Prices&amp;Logo'!$B$253</f>
        <v>NIP</v>
      </c>
      <c r="F15" s="549"/>
      <c r="G15" s="549"/>
      <c r="H15" s="549"/>
      <c r="I15" s="549"/>
      <c r="K15" s="560"/>
      <c r="L15" s="560"/>
      <c r="M15" s="560"/>
      <c r="N15" s="560"/>
      <c r="O15" s="560"/>
      <c r="P15" s="560"/>
    </row>
    <row r="16" spans="1:23">
      <c r="K16" s="65"/>
      <c r="L16" s="65"/>
      <c r="M16" s="65"/>
      <c r="N16" s="65"/>
      <c r="O16" s="65"/>
      <c r="P16" s="65"/>
    </row>
    <row r="17" spans="5:16">
      <c r="E17" s="549" t="str">
        <f>'Translate&amp;Prices&amp;Logo'!$B$250</f>
        <v>Telefon kontaktowy</v>
      </c>
      <c r="F17" s="549"/>
      <c r="G17" s="549"/>
      <c r="H17" s="549"/>
      <c r="I17" s="549"/>
      <c r="K17" s="561"/>
      <c r="L17" s="560"/>
      <c r="M17" s="560"/>
      <c r="N17" s="560"/>
      <c r="O17" s="560"/>
      <c r="P17" s="560"/>
    </row>
    <row r="18" spans="5:16">
      <c r="K18" s="65"/>
      <c r="L18" s="65"/>
      <c r="M18" s="65"/>
      <c r="N18" s="65"/>
      <c r="O18" s="65"/>
      <c r="P18" s="65"/>
    </row>
    <row r="19" spans="5:16">
      <c r="E19" s="549" t="str">
        <f>'Translate&amp;Prices&amp;Logo'!$B$251</f>
        <v>Adres e-mail</v>
      </c>
      <c r="F19" s="549"/>
      <c r="G19" s="549"/>
      <c r="H19" s="549"/>
      <c r="I19" s="549"/>
      <c r="K19" s="560"/>
      <c r="L19" s="560"/>
      <c r="M19" s="560"/>
      <c r="N19" s="560"/>
      <c r="O19" s="560"/>
      <c r="P19" s="560"/>
    </row>
    <row r="20" spans="5:16">
      <c r="K20" s="65"/>
      <c r="L20" s="65"/>
      <c r="M20" s="65"/>
      <c r="N20" s="65"/>
      <c r="O20" s="65"/>
      <c r="P20" s="65"/>
    </row>
    <row r="21" spans="5:16">
      <c r="E21" s="549" t="str">
        <f>'Translate&amp;Prices&amp;Logo'!$B$254</f>
        <v>Rabat na ramki</v>
      </c>
      <c r="F21" s="549"/>
      <c r="G21" s="549"/>
      <c r="H21" s="549"/>
      <c r="I21" s="549"/>
      <c r="K21" s="563"/>
      <c r="L21" s="563"/>
      <c r="M21" s="563"/>
      <c r="N21" s="563"/>
      <c r="O21" s="563"/>
      <c r="P21" s="399" t="s">
        <v>4269</v>
      </c>
    </row>
    <row r="22" spans="5:16" ht="14.25" customHeight="1">
      <c r="K22" s="347">
        <v>0.2</v>
      </c>
      <c r="L22" s="347"/>
      <c r="M22" s="347"/>
      <c r="N22" s="347"/>
      <c r="O22" s="347"/>
      <c r="P22" s="347"/>
    </row>
    <row r="23" spans="5:16">
      <c r="E23" s="550" t="str">
        <f>IF(Hlavní!V39=3,"Dostawa","")</f>
        <v>Dostawa</v>
      </c>
      <c r="F23" s="550"/>
      <c r="G23" s="550"/>
      <c r="H23" s="550"/>
      <c r="I23" s="550"/>
      <c r="K23" s="551"/>
      <c r="L23" s="551"/>
      <c r="M23" s="551"/>
      <c r="N23" s="551"/>
      <c r="O23" s="551"/>
      <c r="P23" s="551"/>
    </row>
    <row r="24" spans="5:16" ht="14.25" customHeight="1">
      <c r="K24" s="100" t="s">
        <v>3739</v>
      </c>
      <c r="L24" s="562" t="s">
        <v>3740</v>
      </c>
      <c r="M24" s="562"/>
      <c r="N24" s="562"/>
      <c r="O24" s="562"/>
      <c r="P24" s="100" t="s">
        <v>3739</v>
      </c>
    </row>
    <row r="25" spans="5:16" ht="14.25" customHeight="1">
      <c r="E25" s="550" t="str">
        <f>IF(Hlavní!V39=3,"Adres","")</f>
        <v>Adres</v>
      </c>
      <c r="F25" s="550"/>
      <c r="G25" s="550"/>
      <c r="H25" s="550"/>
      <c r="I25" s="550"/>
      <c r="K25" s="552"/>
      <c r="L25" s="552"/>
      <c r="M25" s="552"/>
      <c r="N25" s="552"/>
      <c r="O25" s="552"/>
      <c r="P25" s="552"/>
    </row>
    <row r="26" spans="5:16" ht="14.25" customHeight="1">
      <c r="K26" s="552"/>
      <c r="L26" s="552"/>
      <c r="M26" s="552"/>
      <c r="N26" s="552"/>
      <c r="O26" s="552"/>
      <c r="P26" s="552"/>
    </row>
    <row r="27" spans="5:16" ht="14.25" customHeight="1">
      <c r="K27" s="552"/>
      <c r="L27" s="552"/>
      <c r="M27" s="552"/>
      <c r="N27" s="552"/>
      <c r="O27" s="552"/>
      <c r="P27" s="552"/>
    </row>
    <row r="28" spans="5:16" ht="14.25" customHeight="1"/>
    <row r="29" spans="5:16">
      <c r="E29" s="555" t="str">
        <f>IF(K23="Dostawa na adres","W przypadku wyboru DOSTAWA NA ADRES do zamówienia zostanie automatycznie doliczona opłata transportowa. Aby uzyskać informacje o kosztach wysyłki powyżej 20 ramek, skontaktuj się z obsługą klienta: tel: 327908582, email: zamowienia@demos-trade.com","")</f>
        <v/>
      </c>
      <c r="F29" s="555"/>
      <c r="G29" s="555"/>
      <c r="H29" s="555"/>
      <c r="I29" s="555"/>
      <c r="J29" s="555"/>
      <c r="K29" s="555"/>
      <c r="L29" s="555"/>
      <c r="M29" s="555"/>
      <c r="N29" s="555"/>
      <c r="O29" s="555"/>
      <c r="P29" s="555"/>
    </row>
    <row r="30" spans="5:16">
      <c r="E30" s="555"/>
      <c r="F30" s="555"/>
      <c r="G30" s="555"/>
      <c r="H30" s="555"/>
      <c r="I30" s="555"/>
      <c r="J30" s="555"/>
      <c r="K30" s="555"/>
      <c r="L30" s="555"/>
      <c r="M30" s="555"/>
      <c r="N30" s="555"/>
      <c r="O30" s="555"/>
      <c r="P30" s="555"/>
    </row>
    <row r="31" spans="5:16">
      <c r="E31" s="555"/>
      <c r="F31" s="555"/>
      <c r="G31" s="555"/>
      <c r="H31" s="555"/>
      <c r="I31" s="555"/>
      <c r="J31" s="555"/>
      <c r="K31" s="555"/>
      <c r="L31" s="555"/>
      <c r="M31" s="555"/>
      <c r="N31" s="555"/>
      <c r="O31" s="555"/>
      <c r="P31" s="555"/>
    </row>
    <row r="32" spans="5:16">
      <c r="E32" s="345"/>
      <c r="F32" s="345"/>
      <c r="G32" s="345"/>
      <c r="H32" s="345"/>
      <c r="I32" s="345"/>
      <c r="J32" s="345"/>
      <c r="K32" s="345"/>
      <c r="L32" s="345"/>
      <c r="M32" s="345"/>
      <c r="N32" s="345"/>
      <c r="O32" s="345"/>
      <c r="P32" s="345"/>
    </row>
    <row r="33" spans="2:24"/>
    <row r="34" spans="2:24">
      <c r="B34" s="547" t="str">
        <f>"&lt;"&amp;" "&amp;'Translate&amp;Prices&amp;Logo'!$B$574</f>
        <v>&lt; Powrót</v>
      </c>
      <c r="C34" s="548"/>
      <c r="E34" s="345"/>
      <c r="F34" s="345"/>
      <c r="G34" s="345"/>
      <c r="H34" s="345"/>
      <c r="I34" s="345"/>
      <c r="J34" s="345"/>
      <c r="K34" s="553" t="s">
        <v>3783</v>
      </c>
      <c r="L34" s="554"/>
      <c r="M34" s="345"/>
      <c r="N34" s="345"/>
      <c r="O34" s="345"/>
      <c r="P34" s="345"/>
      <c r="R34" s="556" t="str">
        <f>'Translate&amp;Prices&amp;Logo'!$B$566&amp;" "&amp;"&gt;"</f>
        <v>Kolejne &gt;</v>
      </c>
      <c r="S34" s="557"/>
      <c r="U34" s="11">
        <f>IF('Translate&amp;Prices&amp;Logo'!D1=3,1,0)</f>
        <v>1</v>
      </c>
      <c r="V34" s="11">
        <f>IF(K23="",0,1)</f>
        <v>0</v>
      </c>
      <c r="W34" s="11">
        <f>IF(AND(U34=1,V34=1),1,0)</f>
        <v>0</v>
      </c>
      <c r="X34" s="11">
        <f>IF(OR(W34=1,W35=1),1,0)</f>
        <v>0</v>
      </c>
    </row>
    <row r="35" spans="2:24">
      <c r="B35" s="547"/>
      <c r="C35" s="548"/>
      <c r="E35" s="345"/>
      <c r="F35" s="345"/>
      <c r="G35" s="345"/>
      <c r="H35" s="345"/>
      <c r="I35" s="345"/>
      <c r="J35" s="345"/>
      <c r="K35" s="553"/>
      <c r="L35" s="554"/>
      <c r="M35" s="345"/>
      <c r="N35" s="345"/>
      <c r="O35" s="345"/>
      <c r="P35" s="345"/>
      <c r="R35" s="556"/>
      <c r="S35" s="557"/>
      <c r="U35" s="11" t="s">
        <v>3716</v>
      </c>
      <c r="V35" s="11"/>
      <c r="W35" s="11">
        <f>IF('Translate&amp;Prices&amp;Logo'!D1&lt;&gt;3,1,0)</f>
        <v>0</v>
      </c>
      <c r="X35" s="11"/>
    </row>
    <row r="36" spans="2:24">
      <c r="U36" s="11"/>
      <c r="V36" s="11"/>
      <c r="W36" s="11"/>
      <c r="X36" s="11"/>
    </row>
    <row r="37" spans="2:24"/>
    <row r="38" spans="2:24"/>
  </sheetData>
  <sheetProtection algorithmName="SHA-512" hashValue="oXVDVteTHDTu5FD5eA2jUbGdUnKcXsfMz7xdRH8T72bq23619e79a61sdz0owkBuErHBWzu3qfWU+980+mPzow==" saltValue="FCVQnMA4TKHnhDMQ0B5qDg==" spinCount="100000" sheet="1" objects="1" scenarios="1"/>
  <mergeCells count="24">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 ref="B34:C35"/>
    <mergeCell ref="E21:I21"/>
    <mergeCell ref="E25:I25"/>
    <mergeCell ref="K23:P23"/>
    <mergeCell ref="K25:P25"/>
    <mergeCell ref="K26:P26"/>
    <mergeCell ref="K27:P27"/>
    <mergeCell ref="K34:L35"/>
    <mergeCell ref="E29:P31"/>
  </mergeCells>
  <conditionalFormatting sqref="E25:I25">
    <cfRule type="expression" dxfId="912" priority="1" stopIfTrue="1">
      <formula>K23="Dostawa na adres"</formula>
    </cfRule>
  </conditionalFormatting>
  <conditionalFormatting sqref="K24">
    <cfRule type="expression" dxfId="910" priority="4">
      <formula>$K$23="Dostawa na adres"</formula>
    </cfRule>
  </conditionalFormatting>
  <conditionalFormatting sqref="K34">
    <cfRule type="expression" dxfId="909" priority="16" stopIfTrue="1">
      <formula>K23="Dostawa na adres"</formula>
    </cfRule>
  </conditionalFormatting>
  <conditionalFormatting sqref="K25:P25">
    <cfRule type="expression" dxfId="908" priority="10">
      <formula>K23="Dostawa na adres"</formula>
    </cfRule>
  </conditionalFormatting>
  <conditionalFormatting sqref="K26:P26">
    <cfRule type="expression" dxfId="907" priority="9">
      <formula>K23="Dostawa na adres"</formula>
    </cfRule>
  </conditionalFormatting>
  <conditionalFormatting sqref="K27:P27">
    <cfRule type="expression" dxfId="906" priority="15">
      <formula>K23="Dostawa na adres"</formula>
    </cfRule>
  </conditionalFormatting>
  <conditionalFormatting sqref="L24">
    <cfRule type="expression" dxfId="905" priority="5">
      <formula>$K$23="Dostawa na adres"</formula>
    </cfRule>
  </conditionalFormatting>
  <conditionalFormatting sqref="P24">
    <cfRule type="expression" dxfId="904" priority="6">
      <formula>$K$23="Dostawa na adres"</formula>
    </cfRule>
  </conditionalFormatting>
  <conditionalFormatting sqref="R34:S35">
    <cfRule type="expression" dxfId="903"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VLOOKUP(Ram_6!H8,kombinace_6!$A$3:$C$75,3,0)</f>
        <v>N</v>
      </c>
      <c r="S1" t="str">
        <f>CONCATENATE("_",R1,V1)</f>
        <v>_N1</v>
      </c>
      <c r="U1" s="231" t="s">
        <v>1082</v>
      </c>
      <c r="V1" s="2">
        <f>IFERROR(VLOOKUP(Ram_6!H21,$EN$3:$EO$5,2,0),1)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CONCATENATE("_",Ram_6!H12,"_",Ram_6!H13)</f>
        <v>__</v>
      </c>
      <c r="BV2" t="s">
        <v>1100</v>
      </c>
      <c r="BW2" t="s">
        <v>1095</v>
      </c>
      <c r="BY2" t="s">
        <v>112</v>
      </c>
      <c r="CA2" t="s">
        <v>1127</v>
      </c>
      <c r="CD2" t="s">
        <v>1202</v>
      </c>
      <c r="CF2" t="s">
        <v>1447</v>
      </c>
      <c r="DN2" t="str">
        <f>'Translate&amp;Prices&amp;Logo'!B553</f>
        <v>Nakładany</v>
      </c>
      <c r="DP2" t="str">
        <f>'Translate&amp;Prices&amp;Logo'!$B$551</f>
        <v>Zawiasy</v>
      </c>
      <c r="DQ2">
        <v>2</v>
      </c>
      <c r="ED2" t="s">
        <v>1770</v>
      </c>
      <c r="EE2" t="s">
        <v>1864</v>
      </c>
      <c r="ER2" t="s">
        <v>2278</v>
      </c>
      <c r="ES2" t="s">
        <v>2283</v>
      </c>
      <c r="EV2">
        <v>2</v>
      </c>
      <c r="EW2" t="s">
        <v>2300</v>
      </c>
      <c r="EY2" s="271" t="str">
        <f>'Translate&amp;Prices&amp;Logo'!B164</f>
        <v>siatka alu złota - oko 10x6x1 mm</v>
      </c>
      <c r="FA2" s="75" t="str">
        <f>'Translate&amp;Prices&amp;Logo'!B644</f>
        <v>520405 SALICE AIR SOFT zawiasy niklowe o kącie otwarcia 92° kpl. 2 szt</v>
      </c>
      <c r="FC2" t="b">
        <v>0</v>
      </c>
    </row>
    <row r="3" spans="1:160">
      <c r="A3" t="str">
        <f>'Translate&amp;Prices&amp;Logo'!$B$6</f>
        <v>BRW (elox.) - maksymalna zalecana długość profilu 2500 mm</v>
      </c>
      <c r="B3">
        <v>1</v>
      </c>
      <c r="C3" t="s">
        <v>662</v>
      </c>
      <c r="D3">
        <v>1</v>
      </c>
      <c r="F3" t="s">
        <v>1036</v>
      </c>
      <c r="G3" t="s">
        <v>384</v>
      </c>
      <c r="H3" t="s">
        <v>1037</v>
      </c>
      <c r="I3">
        <v>1</v>
      </c>
      <c r="J3">
        <v>2</v>
      </c>
      <c r="K3" t="s">
        <v>662</v>
      </c>
      <c r="M3" t="s">
        <v>1038</v>
      </c>
      <c r="N3" t="s">
        <v>556</v>
      </c>
      <c r="X3" t="str">
        <f>'Translate&amp;Prices&amp;Logo'!$B$563</f>
        <v>transparentna</v>
      </c>
      <c r="Y3">
        <v>1</v>
      </c>
      <c r="AA3" t="s">
        <v>2204</v>
      </c>
      <c r="AB3" t="s">
        <v>1095</v>
      </c>
      <c r="AF3" t="s">
        <v>107</v>
      </c>
      <c r="AG3" t="s">
        <v>2514</v>
      </c>
      <c r="AY3" t="s">
        <v>1070</v>
      </c>
      <c r="BK3" t="s">
        <v>107</v>
      </c>
      <c r="BU3" t="e">
        <f>VLOOKUP(BU2,BV:BW,2,0)</f>
        <v>#N/A</v>
      </c>
      <c r="BV3" t="s">
        <v>1103</v>
      </c>
      <c r="BW3" t="s">
        <v>1099</v>
      </c>
      <c r="BY3" t="str">
        <f>'Translate&amp;Prices&amp;Logo'!$B$230</f>
        <v>W lewo</v>
      </c>
      <c r="BZ3">
        <v>1</v>
      </c>
      <c r="CA3">
        <v>32</v>
      </c>
      <c r="CD3" t="s">
        <v>2511</v>
      </c>
      <c r="CE3">
        <v>1</v>
      </c>
      <c r="CF3">
        <v>1</v>
      </c>
      <c r="DN3" t="str">
        <f>IF(OR(Ram_6!$H$13&amp;Ram_6!$AU$7=Ram_6!$M$44,
Ram_6!$H$13&amp;Ram_6!$AU$7=Ram_6!$M$45,
Ram_6!$H$13&amp;Ram_6!$AU$7=Ram_6!$M$46,
Ram_6!$H$13&amp;Ram_6!$AU$7=Ram_6!$M$47),
'Translate&amp;Prices&amp;Logo'!B657,'Translate&amp;Prices&amp;Logo'!B554)</f>
        <v>Półnakładany</v>
      </c>
      <c r="DP3" t="str">
        <f>'Translate&amp;Prices&amp;Logo'!$B$552</f>
        <v>Podnośniki</v>
      </c>
      <c r="DQ3">
        <v>3</v>
      </c>
      <c r="ED3" t="s">
        <v>1771</v>
      </c>
      <c r="EE3" t="s">
        <v>1865</v>
      </c>
      <c r="EJ3">
        <v>1</v>
      </c>
      <c r="EK3" t="s">
        <v>115</v>
      </c>
      <c r="EN3" t="str">
        <f>'Translate&amp;Prices&amp;Logo'!B638</f>
        <v>Bez modyfikacji</v>
      </c>
      <c r="EO3">
        <v>1</v>
      </c>
      <c r="ER3" t="s">
        <v>2276</v>
      </c>
      <c r="ES3" t="s">
        <v>2284</v>
      </c>
      <c r="EV3">
        <v>3</v>
      </c>
      <c r="EW3" t="s">
        <v>2301</v>
      </c>
      <c r="EY3" s="271" t="str">
        <f>'Translate&amp;Prices&amp;Logo'!B165</f>
        <v>siatka stal czarny mat RAL 9005– oko 8x4x1 mm</v>
      </c>
      <c r="FA3" s="75" t="str">
        <f>'Translate&amp;Prices&amp;Logo'!B645</f>
        <v>520406 SALICE AIR PUSH TO OPEN zawiasy niklowe z zestawem adapterów 2 szt</v>
      </c>
    </row>
    <row r="4" spans="1:160">
      <c r="A4" t="str">
        <f>'Translate&amp;Prices&amp;Logo'!$B$8</f>
        <v>BRW bialy matowy RAL 9003 - maksymalna zalecana długość profilu 2500 mm</v>
      </c>
      <c r="B4">
        <v>1</v>
      </c>
      <c r="C4" t="s">
        <v>662</v>
      </c>
      <c r="D4">
        <v>0</v>
      </c>
      <c r="G4" t="s">
        <v>1037</v>
      </c>
      <c r="H4" t="s">
        <v>384</v>
      </c>
      <c r="I4">
        <v>0</v>
      </c>
      <c r="J4">
        <v>2</v>
      </c>
      <c r="K4" t="s">
        <v>662</v>
      </c>
      <c r="M4" t="s">
        <v>1041</v>
      </c>
      <c r="N4" t="s">
        <v>942</v>
      </c>
      <c r="X4" t="str">
        <f>'Translate&amp;Prices&amp;Logo'!$B$564</f>
        <v>Biała</v>
      </c>
      <c r="Y4">
        <v>2</v>
      </c>
      <c r="AA4" t="s">
        <v>1040</v>
      </c>
      <c r="AB4" t="s">
        <v>2511</v>
      </c>
      <c r="AC4">
        <v>1</v>
      </c>
      <c r="AD4">
        <v>1</v>
      </c>
      <c r="AF4" t="s">
        <v>108</v>
      </c>
      <c r="AG4" t="s">
        <v>2514</v>
      </c>
      <c r="AY4" t="s">
        <v>1070</v>
      </c>
      <c r="AZ4" t="s">
        <v>1105</v>
      </c>
      <c r="BK4" t="s">
        <v>108</v>
      </c>
      <c r="BV4" t="s">
        <v>1104</v>
      </c>
      <c r="BW4" t="s">
        <v>1098</v>
      </c>
      <c r="BY4" t="str">
        <f>'Translate&amp;Prices&amp;Logo'!$B$229</f>
        <v>W prawo</v>
      </c>
      <c r="BZ4">
        <v>2</v>
      </c>
      <c r="CA4">
        <v>64</v>
      </c>
      <c r="CD4" t="s">
        <v>2275</v>
      </c>
      <c r="CE4">
        <v>1</v>
      </c>
      <c r="CF4">
        <v>0</v>
      </c>
      <c r="DN4" t="str">
        <f>IF(OR(Ram_6!$H$13&amp;Ram_6!$AU$7=Ram_6!$M$44,
Ram_6!$H$13&amp;Ram_6!$AU$7=Ram_6!$M$45,
Ram_6!$H$13&amp;Ram_6!$AU$7=Ram_6!$M$46,
Ram_6!$H$13&amp;Ram_6!$AU$7=Ram_6!$M$47),
'Translate&amp;Prices&amp;Logo'!B657,'Translate&amp;Prices&amp;Logo'!B555)</f>
        <v>Wpuszczany</v>
      </c>
      <c r="ED4" t="s">
        <v>1772</v>
      </c>
      <c r="EE4" t="s">
        <v>1866</v>
      </c>
      <c r="EJ4">
        <v>2</v>
      </c>
      <c r="EK4" t="s">
        <v>116</v>
      </c>
      <c r="EN4" t="str">
        <f>'Translate&amp;Prices&amp;Logo'!B639</f>
        <v>Hartowane (termin dostawy 4 tygodnie)</v>
      </c>
      <c r="EO4">
        <v>2</v>
      </c>
      <c r="ER4" t="s">
        <v>2586</v>
      </c>
      <c r="ES4" t="s">
        <v>2587</v>
      </c>
      <c r="EV4">
        <v>4</v>
      </c>
      <c r="EW4" t="s">
        <v>2302</v>
      </c>
      <c r="EY4" s="271" t="str">
        <f>'Translate&amp;Prices&amp;Logo'!B166</f>
        <v>siatka stalowa biała - oko 8x4x1 mm</v>
      </c>
      <c r="FA4" s="75" t="str">
        <f>'Translate&amp;Prices&amp;Logo'!B646</f>
        <v>520407 SALICE AIR PUSH TO OPEN zawiasy niklowe z zestawem adapterów 2 szt</v>
      </c>
      <c r="FD4" s="293"/>
    </row>
    <row r="5" spans="1:160">
      <c r="A5" t="str">
        <f>'Translate&amp;Prices&amp;Logo'!$B$9</f>
        <v>BRW bialy połysk RAL 9003 - maksymalna zalecana długość profilu 2500 mm</v>
      </c>
      <c r="B5">
        <v>1</v>
      </c>
      <c r="C5" t="s">
        <v>662</v>
      </c>
      <c r="D5">
        <v>0</v>
      </c>
      <c r="F5" t="s">
        <v>1043</v>
      </c>
      <c r="G5" t="s">
        <v>383</v>
      </c>
      <c r="H5" t="s">
        <v>1037</v>
      </c>
      <c r="I5">
        <v>1</v>
      </c>
      <c r="J5">
        <v>2</v>
      </c>
      <c r="K5" t="s">
        <v>662</v>
      </c>
      <c r="M5" t="s">
        <v>1044</v>
      </c>
      <c r="N5" t="s">
        <v>558</v>
      </c>
      <c r="X5" t="str">
        <f>'Translate&amp;Prices&amp;Logo'!$B$565</f>
        <v>czarna</v>
      </c>
      <c r="Y5">
        <v>3</v>
      </c>
      <c r="AA5" t="s">
        <v>1040</v>
      </c>
      <c r="AB5" t="s">
        <v>2515</v>
      </c>
      <c r="AC5">
        <v>0</v>
      </c>
      <c r="AD5">
        <v>0</v>
      </c>
      <c r="AF5" t="s">
        <v>107</v>
      </c>
      <c r="AG5" t="s">
        <v>2516</v>
      </c>
      <c r="AY5" t="s">
        <v>1070</v>
      </c>
      <c r="AZ5" t="s">
        <v>1106</v>
      </c>
      <c r="BK5" t="s">
        <v>1047</v>
      </c>
      <c r="BV5" t="s">
        <v>2638</v>
      </c>
      <c r="BW5" t="s">
        <v>2639</v>
      </c>
      <c r="BY5" t="str">
        <f>'Translate&amp;Prices&amp;Logo'!$B$227</f>
        <v>W górę</v>
      </c>
      <c r="BZ5">
        <v>3</v>
      </c>
      <c r="CA5">
        <v>76</v>
      </c>
      <c r="CD5" t="s">
        <v>1050</v>
      </c>
      <c r="CE5">
        <v>1</v>
      </c>
      <c r="CF5">
        <v>0</v>
      </c>
      <c r="ED5" t="s">
        <v>1773</v>
      </c>
      <c r="EE5" t="s">
        <v>1867</v>
      </c>
      <c r="EJ5">
        <v>3</v>
      </c>
      <c r="EK5" t="s">
        <v>76</v>
      </c>
      <c r="EN5" t="str">
        <f>'Translate&amp;Prices&amp;Logo'!B640</f>
        <v>Folia</v>
      </c>
      <c r="EO5">
        <v>3</v>
      </c>
      <c r="ER5" t="s">
        <v>2588</v>
      </c>
      <c r="ES5" t="s">
        <v>2589</v>
      </c>
      <c r="EV5">
        <v>5</v>
      </c>
      <c r="EW5" t="s">
        <v>2300</v>
      </c>
      <c r="EY5" s="271" t="str">
        <f>'Translate&amp;Prices&amp;Logo'!B167</f>
        <v>siatka elox - oko 10x6x1 mm</v>
      </c>
      <c r="FA5" s="75" t="str">
        <f>'Translate&amp;Prices&amp;Logo'!B647</f>
        <v>520408 SALICE AIR SOFT zawiasy niklowe z zestawem adapterów 2 szt</v>
      </c>
      <c r="FD5" s="293"/>
    </row>
    <row r="6" spans="1:160">
      <c r="A6" t="str">
        <f>'Translate&amp;Prices&amp;Logo'!$B$11</f>
        <v>BRW szczotkowany - maksymalna zalecana długość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W dół</v>
      </c>
      <c r="BZ6">
        <v>4</v>
      </c>
      <c r="CA6">
        <v>96</v>
      </c>
      <c r="CD6" t="s">
        <v>1053</v>
      </c>
      <c r="CE6">
        <v>1</v>
      </c>
      <c r="CF6">
        <v>1</v>
      </c>
      <c r="ED6" t="s">
        <v>1774</v>
      </c>
      <c r="EE6" t="s">
        <v>1868</v>
      </c>
      <c r="EJ6">
        <v>4</v>
      </c>
      <c r="EK6" t="s">
        <v>77</v>
      </c>
      <c r="ER6" t="s">
        <v>2590</v>
      </c>
      <c r="ES6" t="s">
        <v>2591</v>
      </c>
      <c r="FA6" s="75" t="str">
        <f>'Translate&amp;Prices&amp;Logo'!B648</f>
        <v>520410 SALICE AIR SOFT TITANIUM  zawiasy o kącie otwarcia 92° kpl. 2 szt</v>
      </c>
    </row>
    <row r="7" spans="1:160">
      <c r="A7" t="str">
        <f>'Translate&amp;Prices&amp;Logo'!$B$12</f>
        <v>BRW Czarny matowy - maksymalna zalecana długość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zawiasy komplet 2 szt</v>
      </c>
      <c r="FD7" s="293"/>
    </row>
    <row r="8" spans="1:160">
      <c r="A8" t="str">
        <f>'Translate&amp;Prices&amp;Logo'!$B$14</f>
        <v>BRW czarna szczotka - maksymalna zalecana długość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zawiasy z zestawem adapterów 2 szt</v>
      </c>
    </row>
    <row r="9" spans="1:160">
      <c r="A9" t="str">
        <f>'Translate&amp;Prices&amp;Logo'!$B$15</f>
        <v>BRW acier grata - maksymalna zalecana długość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zawiasy z zestawem adapterów 2 szt</v>
      </c>
    </row>
    <row r="10" spans="1:160">
      <c r="A10" t="str">
        <f>'Translate&amp;Prices&amp;Logo'!$B$7</f>
        <v>BRW antracyt RAL 7021 - maksymalna zalecana długość profilu 2500 mm</v>
      </c>
      <c r="B10">
        <v>1</v>
      </c>
      <c r="C10" t="s">
        <v>662</v>
      </c>
      <c r="D10">
        <v>0</v>
      </c>
      <c r="M10" t="str">
        <f>'Translate&amp;Prices&amp;Logo'!B558</f>
        <v>Poziomo (termin dostawy 4 tygodnie)</v>
      </c>
      <c r="N10">
        <f>IF(Ram_6!$H$9=kombinace_6!M10,1,0)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maksymalna zalecana długość profilu 2500 mm</v>
      </c>
      <c r="B11">
        <v>1</v>
      </c>
      <c r="C11" t="s">
        <v>662</v>
      </c>
      <c r="D11">
        <v>0</v>
      </c>
      <c r="M11" t="str">
        <f>'Translate&amp;Prices&amp;Logo'!B559</f>
        <v>Pionowo (termin dostawy 4 tygodnie)</v>
      </c>
      <c r="N11">
        <f>IF(Ram_6!$H$9=kombinace_6!M11,2,0)</f>
        <v>0</v>
      </c>
      <c r="AC11">
        <v>0</v>
      </c>
      <c r="AD11">
        <v>0</v>
      </c>
      <c r="AF11" t="s">
        <v>107</v>
      </c>
      <c r="AG11" t="s">
        <v>1055</v>
      </c>
      <c r="AY11" t="s">
        <v>1040</v>
      </c>
      <c r="AZ11" t="s">
        <v>1111</v>
      </c>
      <c r="BQ11" s="273" t="s">
        <v>2390</v>
      </c>
      <c r="BY11">
        <v>5</v>
      </c>
      <c r="CA11">
        <v>240</v>
      </c>
      <c r="CD11" t="str">
        <f>CONCATENATE('Translate&amp;Prices&amp;Logo'!B664,"_K12")</f>
        <v>dolny_K12</v>
      </c>
      <c r="CE11">
        <v>1</v>
      </c>
      <c r="CF11">
        <v>0</v>
      </c>
      <c r="DN11" t="s">
        <v>70</v>
      </c>
      <c r="DO11" s="2" t="s">
        <v>70</v>
      </c>
      <c r="ED11" t="s">
        <v>1779</v>
      </c>
      <c r="EE11" t="s">
        <v>1873</v>
      </c>
      <c r="ER11" t="s">
        <v>2280</v>
      </c>
      <c r="ES11" t="s">
        <v>2286</v>
      </c>
      <c r="FD11" s="293"/>
    </row>
    <row r="12" spans="1:160">
      <c r="A12" t="str">
        <f>'Translate&amp;Prices&amp;Logo'!$B$70</f>
        <v>BRW champagne light - maksymalna zalecana długość profilu 2500 mm</v>
      </c>
      <c r="B12">
        <v>1</v>
      </c>
      <c r="C12" t="s">
        <v>662</v>
      </c>
      <c r="D12">
        <v>0</v>
      </c>
      <c r="M12" t="str">
        <f>'Translate&amp;Prices&amp;Logo'!B560</f>
        <v>Poziomo i pionowo (termin dostawy 4 tygodnie)</v>
      </c>
      <c r="N12">
        <f>IF(Ram_6!$H$9=kombinace_6!M12,3,0)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brąz - maksymalna zalecana długość profilu 2500 mm</v>
      </c>
      <c r="B13">
        <v>1</v>
      </c>
      <c r="C13" t="s">
        <v>662</v>
      </c>
      <c r="D13">
        <v>0</v>
      </c>
      <c r="AC13">
        <v>0</v>
      </c>
      <c r="AD13">
        <v>0</v>
      </c>
      <c r="AF13" t="s">
        <v>107</v>
      </c>
      <c r="AG13" t="s">
        <v>1058</v>
      </c>
      <c r="AY13" t="s">
        <v>1040</v>
      </c>
      <c r="AZ13" t="s">
        <v>1113</v>
      </c>
      <c r="BQ13" s="274"/>
      <c r="BR13" t="s">
        <v>1052</v>
      </c>
      <c r="BY13" t="str">
        <f>'Translate&amp;Prices&amp;Logo'!$B$558</f>
        <v>Poziomo (termin dostawy 4 tygodnie)</v>
      </c>
      <c r="BZ13">
        <v>1</v>
      </c>
      <c r="CA13">
        <v>288</v>
      </c>
      <c r="CD13" t="str">
        <f>CONCATENATE('Translate&amp;Prices&amp;Logo'!B664,"_kraby")</f>
        <v>dolny_kraby</v>
      </c>
      <c r="CE13">
        <v>1</v>
      </c>
      <c r="CF13">
        <v>0</v>
      </c>
      <c r="DN13" t="s">
        <v>222</v>
      </c>
      <c r="DO13" s="2" t="s">
        <v>69</v>
      </c>
      <c r="ED13" t="s">
        <v>2648</v>
      </c>
      <c r="EE13" t="s">
        <v>2647</v>
      </c>
      <c r="ER13" t="s">
        <v>2282</v>
      </c>
      <c r="ES13" t="s">
        <v>2282</v>
      </c>
    </row>
    <row r="14" spans="1:160">
      <c r="A14" t="str">
        <f>'Translate&amp;Prices&amp;Logo'!$B$16</f>
        <v>BRW INOX (stal nierdzewna) - maksymalna zalecana długość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Pionowo (termin dostawy 4 tygodnie)</v>
      </c>
      <c r="BZ14">
        <v>2</v>
      </c>
      <c r="CA14">
        <v>320</v>
      </c>
      <c r="CD14" t="s">
        <v>1066</v>
      </c>
      <c r="CE14">
        <v>1</v>
      </c>
      <c r="CF14">
        <v>0</v>
      </c>
      <c r="DN14" t="s">
        <v>223</v>
      </c>
      <c r="DO14" s="2" t="s">
        <v>70</v>
      </c>
      <c r="ED14" t="s">
        <v>1781</v>
      </c>
      <c r="EE14" t="s">
        <v>1875</v>
      </c>
      <c r="ER14" t="s">
        <v>2283</v>
      </c>
      <c r="ES14" t="s">
        <v>2283</v>
      </c>
    </row>
    <row r="15" spans="1:160">
      <c r="A15" t="str">
        <f>'Translate&amp;Prices&amp;Logo'!$B$13</f>
        <v>BRW złota- maksymalna zalecana długość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Poziomo i pionowo (termin dostawy 4 tygodnie)</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złota szczotkowany - maksymalna zalecana zalecana długość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StrongLift_gorny</v>
      </c>
      <c r="CE16">
        <v>1</v>
      </c>
      <c r="CF16">
        <v>1</v>
      </c>
      <c r="DN16" t="s">
        <v>286</v>
      </c>
      <c r="DO16" s="2" t="s">
        <v>69</v>
      </c>
      <c r="ED16" t="s">
        <v>1783</v>
      </c>
      <c r="EE16" t="s">
        <v>1877</v>
      </c>
      <c r="ER16" t="s">
        <v>2587</v>
      </c>
      <c r="ES16" t="s">
        <v>2587</v>
      </c>
      <c r="FD16" s="293"/>
    </row>
    <row r="17" spans="1:160">
      <c r="A17" t="str">
        <f>'Translate&amp;Prices&amp;Logo'!$B$17</f>
        <v>Corleone (elox.)- maksymalna zalecana długość profilu 1500 mm</v>
      </c>
      <c r="B17">
        <v>2</v>
      </c>
      <c r="C17" t="s">
        <v>662</v>
      </c>
      <c r="D17">
        <v>0</v>
      </c>
      <c r="E17">
        <v>3</v>
      </c>
      <c r="F17">
        <f>'Translate&amp;Prices&amp;Logo'!$B$82</f>
        <v>0</v>
      </c>
      <c r="AA17" t="s">
        <v>1052</v>
      </c>
      <c r="AB17" t="str">
        <f>IF(Ram_6!AU7=2,"FREEspace"," ")</f>
        <v>FREEspace</v>
      </c>
      <c r="AC17">
        <v>0</v>
      </c>
      <c r="AD17">
        <v>0</v>
      </c>
      <c r="AF17" t="s">
        <v>107</v>
      </c>
      <c r="AG17" t="s">
        <v>1061</v>
      </c>
      <c r="AY17" t="s">
        <v>2577</v>
      </c>
      <c r="AZ17" t="s">
        <v>2579</v>
      </c>
      <c r="CA17">
        <v>480</v>
      </c>
      <c r="CD17" t="str">
        <f>'Translate&amp;Prices&amp;Logo'!B660</f>
        <v>StrongLift_dolny</v>
      </c>
      <c r="CE17">
        <v>1</v>
      </c>
      <c r="CF17">
        <v>1</v>
      </c>
      <c r="DN17" t="s">
        <v>1363</v>
      </c>
      <c r="DO17" s="2" t="s">
        <v>70</v>
      </c>
      <c r="ED17" t="s">
        <v>1784</v>
      </c>
      <c r="EE17" t="s">
        <v>1878</v>
      </c>
      <c r="ER17" t="s">
        <v>2589</v>
      </c>
      <c r="ES17" t="s">
        <v>2589</v>
      </c>
      <c r="FD17" s="293"/>
    </row>
    <row r="18" spans="1:160">
      <c r="A18" t="str">
        <f>'Translate&amp;Prices&amp;Logo'!$B$18</f>
        <v>Corleone czarny matowy - maksymalna zalecana długość profilu 1500 mm</v>
      </c>
      <c r="B18">
        <v>2</v>
      </c>
      <c r="C18" t="s">
        <v>662</v>
      </c>
      <c r="D18">
        <v>0</v>
      </c>
      <c r="E18">
        <v>3</v>
      </c>
      <c r="F18" t="str">
        <f>'Translate&amp;Prices&amp;Logo'!$B$80</f>
        <v>Rocca elox (lewa i prawa) + Varna elox (góra i dół)</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czarne  - maksymalna zalecana długość profilu 2150</v>
      </c>
      <c r="B19">
        <v>1</v>
      </c>
      <c r="C19" t="s">
        <v>1084</v>
      </c>
      <c r="D19">
        <v>0</v>
      </c>
      <c r="F19" t="str">
        <f>'Translate&amp;Prices&amp;Logo'!$B$81</f>
        <v>Rocca czarny (lewa i prawa) + Varna czarny (góra i dół)</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antracyt mat RAL 7021 mat lakier - maksymalna zalecana długość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maksymalna zalecana długość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Czarny matowy - maksymalna zalecana długość profilu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bialy matowy RAL 9003 - maksymalna zalecana długość profilu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złota - maksymalna zalecana zalecana długość profilu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maksymalna zalecana długość profilu 2500 mm</v>
      </c>
      <c r="B25">
        <v>2</v>
      </c>
      <c r="C25" t="s">
        <v>662</v>
      </c>
      <c r="D25">
        <v>0</v>
      </c>
      <c r="AF25" t="s">
        <v>107</v>
      </c>
      <c r="AG25" t="s">
        <v>1066</v>
      </c>
      <c r="BY25">
        <v>8</v>
      </c>
      <c r="ED25" t="s">
        <v>1792</v>
      </c>
      <c r="EE25" t="s">
        <v>1886</v>
      </c>
      <c r="ER25" t="s">
        <v>2292</v>
      </c>
      <c r="ES25" t="s">
        <v>2292</v>
      </c>
    </row>
    <row r="26" spans="1:160">
      <c r="A26" t="str">
        <f>'Translate&amp;Prices&amp;Logo'!$B$23</f>
        <v>Modena Czarny matowy - maksymalna zalecana długość profilu 2500 mm</v>
      </c>
      <c r="B26">
        <v>2</v>
      </c>
      <c r="C26" t="s">
        <v>662</v>
      </c>
      <c r="D26">
        <v>0</v>
      </c>
      <c r="AF26" t="s">
        <v>108</v>
      </c>
      <c r="AG26" t="s">
        <v>1066</v>
      </c>
      <c r="BY26">
        <v>9</v>
      </c>
      <c r="ED26" t="s">
        <v>1793</v>
      </c>
      <c r="EE26" t="s">
        <v>1887</v>
      </c>
      <c r="ER26" t="s">
        <v>2293</v>
      </c>
      <c r="ES26" t="s">
        <v>2293</v>
      </c>
    </row>
    <row r="27" spans="1:160">
      <c r="A27" t="str">
        <f>'Translate&amp;Prices&amp;Logo'!$B$25</f>
        <v>Modena czarna szczotka - maksymalna zalecana długość profilu 2500 mm</v>
      </c>
      <c r="B27">
        <v>2</v>
      </c>
      <c r="C27" t="s">
        <v>662</v>
      </c>
      <c r="D27">
        <v>0</v>
      </c>
      <c r="AF27" t="s">
        <v>107</v>
      </c>
      <c r="AG27" t="s">
        <v>1067</v>
      </c>
      <c r="BY27">
        <v>10</v>
      </c>
      <c r="ED27" t="s">
        <v>1794</v>
      </c>
      <c r="EE27" t="s">
        <v>1888</v>
      </c>
      <c r="ER27" t="s">
        <v>2294</v>
      </c>
      <c r="ES27" t="s">
        <v>2294</v>
      </c>
    </row>
    <row r="28" spans="1:160">
      <c r="A28" t="str">
        <f>'Translate&amp;Prices&amp;Logo'!$B$26</f>
        <v>Modena INOX (stal nierdzewna) - maksymalna zalecana długość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dolny_K12</v>
      </c>
      <c r="AC30">
        <v>1</v>
      </c>
      <c r="AD30">
        <v>0</v>
      </c>
      <c r="AF30" t="s">
        <v>108</v>
      </c>
      <c r="AG30" t="s">
        <v>1068</v>
      </c>
      <c r="ED30" t="s">
        <v>1797</v>
      </c>
      <c r="EE30" t="s">
        <v>1891</v>
      </c>
      <c r="ER30" t="s">
        <v>2600</v>
      </c>
      <c r="ES30" t="s">
        <v>2600</v>
      </c>
    </row>
    <row r="31" spans="1:160">
      <c r="A31" t="str">
        <f>'Translate&amp;Prices&amp;Logo'!$B$29</f>
        <v>Pisa (elox.) - maksymalna zalecana długość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biały połysk RAL 9003 - maksymalna zalecana zalecana długość profilu 2500 mm</v>
      </c>
      <c r="B32">
        <v>2</v>
      </c>
      <c r="C32" t="s">
        <v>1084</v>
      </c>
      <c r="D32">
        <v>0</v>
      </c>
      <c r="AA32" t="s">
        <v>1062</v>
      </c>
      <c r="AB32" t="str">
        <f>CONCATENATE('Translate&amp;Prices&amp;Logo'!B664,"_kraby")</f>
        <v>dolny_kraby</v>
      </c>
      <c r="AC32">
        <v>1</v>
      </c>
      <c r="AD32">
        <v>0</v>
      </c>
      <c r="AF32" t="s">
        <v>108</v>
      </c>
      <c r="AG32" t="s">
        <v>1069</v>
      </c>
      <c r="BY32" t="str">
        <f>'Translate&amp;Prices&amp;Logo'!$B$230</f>
        <v>W lewo</v>
      </c>
      <c r="BZ32" t="str">
        <f>'Translate&amp;Prices&amp;Logo'!$B$589</f>
        <v>(dolnej)</v>
      </c>
      <c r="CA32" t="str">
        <f>'Translate&amp;Prices&amp;Logo'!$B$591</f>
        <v>(górnej)</v>
      </c>
      <c r="CC32" t="str">
        <f>'Translate&amp;Prices&amp;Logo'!$O$589</f>
        <v>(dolnej)</v>
      </c>
      <c r="CD32" t="str">
        <f>'Translate&amp;Prices&amp;Logo'!$O$591</f>
        <v>(górnej)</v>
      </c>
      <c r="ED32" t="s">
        <v>1799</v>
      </c>
      <c r="EE32" t="s">
        <v>1893</v>
      </c>
      <c r="ER32" t="s">
        <v>2602</v>
      </c>
      <c r="ES32" t="s">
        <v>2602</v>
      </c>
    </row>
    <row r="33" spans="1:149">
      <c r="A33" t="str">
        <f>'Translate&amp;Prices&amp;Logo'!$B$30</f>
        <v>Pisa Czarny matowy - maksymalna zalecana długość profilu 2500 mm</v>
      </c>
      <c r="B33">
        <v>2</v>
      </c>
      <c r="C33" t="s">
        <v>1084</v>
      </c>
      <c r="D33">
        <v>0</v>
      </c>
      <c r="AA33" t="s">
        <v>1062</v>
      </c>
      <c r="AB33" t="s">
        <v>1066</v>
      </c>
      <c r="AC33">
        <v>1</v>
      </c>
      <c r="AD33">
        <v>0</v>
      </c>
      <c r="AF33" t="s">
        <v>107</v>
      </c>
      <c r="AG33" t="s">
        <v>1071</v>
      </c>
      <c r="BY33" t="str">
        <f>'Translate&amp;Prices&amp;Logo'!$B$229</f>
        <v>W prawo</v>
      </c>
      <c r="BZ33" t="str">
        <f>'Translate&amp;Prices&amp;Logo'!$B$589</f>
        <v>(dolnej)</v>
      </c>
      <c r="CA33" t="str">
        <f>'Translate&amp;Prices&amp;Logo'!$B$591</f>
        <v>(górnej)</v>
      </c>
      <c r="CC33" t="str">
        <f>'Translate&amp;Prices&amp;Logo'!$O$589</f>
        <v>(dolnej)</v>
      </c>
      <c r="CD33" t="str">
        <f>'Translate&amp;Prices&amp;Logo'!$O$591</f>
        <v>(górnej)</v>
      </c>
      <c r="ED33" t="s">
        <v>1800</v>
      </c>
      <c r="EE33" t="s">
        <v>1894</v>
      </c>
      <c r="ER33" t="s">
        <v>2603</v>
      </c>
      <c r="ES33" t="s">
        <v>2603</v>
      </c>
    </row>
    <row r="34" spans="1:149">
      <c r="A34" t="str">
        <f>'Translate&amp;Prices&amp;Logo'!$B$58</f>
        <v>Pisa złota - maksymalna zalecana długość profilu 2150 mm</v>
      </c>
      <c r="B34">
        <v>2</v>
      </c>
      <c r="C34" t="s">
        <v>1084</v>
      </c>
      <c r="D34">
        <v>0</v>
      </c>
      <c r="AB34" t="s">
        <v>1067</v>
      </c>
      <c r="AC34">
        <v>1</v>
      </c>
      <c r="AD34">
        <v>0</v>
      </c>
      <c r="AF34" t="s">
        <v>108</v>
      </c>
      <c r="AG34" t="s">
        <v>1071</v>
      </c>
      <c r="BY34" t="str">
        <f>'Translate&amp;Prices&amp;Logo'!$B$227</f>
        <v>W górę</v>
      </c>
      <c r="BZ34" t="str">
        <f>'Translate&amp;Prices&amp;Logo'!$B$590</f>
        <v>(lewej)</v>
      </c>
      <c r="CA34" t="str">
        <f>'Translate&amp;Prices&amp;Logo'!$B$592</f>
        <v>(prawej)</v>
      </c>
      <c r="CC34" t="str">
        <f>'Translate&amp;Prices&amp;Logo'!$O$590</f>
        <v>(lewej)</v>
      </c>
      <c r="CD34" t="str">
        <f>'Translate&amp;Prices&amp;Logo'!$O$592</f>
        <v>(prawej)</v>
      </c>
      <c r="ED34" t="s">
        <v>1801</v>
      </c>
      <c r="EE34" t="s">
        <v>1895</v>
      </c>
      <c r="ER34" t="s">
        <v>2295</v>
      </c>
      <c r="ES34" t="s">
        <v>2295</v>
      </c>
    </row>
    <row r="35" spans="1:149">
      <c r="A35" t="str">
        <f>'Translate&amp;Prices&amp;Logo'!$B$50</f>
        <v>Rocca (elox.) - maksymalna zalecana zalecana długość profilu 2150 mm</v>
      </c>
      <c r="B35">
        <v>1</v>
      </c>
      <c r="C35" t="s">
        <v>662</v>
      </c>
      <c r="D35">
        <v>0</v>
      </c>
      <c r="BY35" t="str">
        <f>'Translate&amp;Prices&amp;Logo'!$B$228</f>
        <v>W dół</v>
      </c>
      <c r="BZ35" t="str">
        <f>'Translate&amp;Prices&amp;Logo'!$B$590</f>
        <v>(lewej)</v>
      </c>
      <c r="CA35" t="str">
        <f>'Translate&amp;Prices&amp;Logo'!$B$592</f>
        <v>(prawej)</v>
      </c>
      <c r="CC35" t="str">
        <f>'Translate&amp;Prices&amp;Logo'!$O$590</f>
        <v>(lewej)</v>
      </c>
      <c r="CD35" t="str">
        <f>'Translate&amp;Prices&amp;Logo'!$O$592</f>
        <v>(prawej)</v>
      </c>
      <c r="ED35" t="s">
        <v>1802</v>
      </c>
      <c r="EE35" t="s">
        <v>1896</v>
      </c>
      <c r="ER35" t="s">
        <v>2296</v>
      </c>
      <c r="ES35" t="s">
        <v>2296</v>
      </c>
    </row>
    <row r="36" spans="1:149">
      <c r="A36" t="str">
        <f>'Translate&amp;Prices&amp;Logo'!$B$42</f>
        <v>Rocca czarny matowy - maksymalna zalecana zalecana długość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maksymalna zalecana zalecana długość profilu 2500 mm</v>
      </c>
      <c r="B39">
        <v>1</v>
      </c>
      <c r="C39" t="s">
        <v>662</v>
      </c>
      <c r="D39">
        <v>0</v>
      </c>
      <c r="AA39" t="s">
        <v>2641</v>
      </c>
      <c r="AB39" t="s">
        <v>2639</v>
      </c>
      <c r="ED39" t="s">
        <v>1744</v>
      </c>
      <c r="EE39" t="s">
        <v>1900</v>
      </c>
      <c r="ER39" t="s">
        <v>2344</v>
      </c>
      <c r="ES39" t="s">
        <v>2338</v>
      </c>
    </row>
    <row r="40" spans="1:149">
      <c r="A40" t="str">
        <f>'Translate&amp;Prices&amp;Logo'!$B$35</f>
        <v>Verona szczotkowany - maksymalna zalecana zalecana długość profilu 2500 mm</v>
      </c>
      <c r="B40">
        <v>1</v>
      </c>
      <c r="C40" t="s">
        <v>662</v>
      </c>
      <c r="D40">
        <v>0</v>
      </c>
      <c r="AA40" t="s">
        <v>2641</v>
      </c>
      <c r="AB40" t="str">
        <f>'Translate&amp;Prices&amp;Logo'!B659</f>
        <v>StrongLift_gorny</v>
      </c>
      <c r="AC40">
        <v>1</v>
      </c>
      <c r="AD40">
        <v>0</v>
      </c>
      <c r="ED40" t="s">
        <v>1745</v>
      </c>
      <c r="EE40" t="s">
        <v>1901</v>
      </c>
      <c r="ER40" t="s">
        <v>2345</v>
      </c>
      <c r="ES40" t="s">
        <v>2339</v>
      </c>
    </row>
    <row r="41" spans="1:149">
      <c r="A41" t="str">
        <f>'Translate&amp;Prices&amp;Logo'!$B$37</f>
        <v>Verona czarny matowy - maksymalna zalecana zalecana długość profilu 2500 mm</v>
      </c>
      <c r="B41">
        <v>1</v>
      </c>
      <c r="C41" t="s">
        <v>662</v>
      </c>
      <c r="D41">
        <v>0</v>
      </c>
      <c r="AB41" t="str">
        <f>'Translate&amp;Prices&amp;Logo'!B660</f>
        <v>StrongLift_dolny</v>
      </c>
      <c r="AC41">
        <v>1</v>
      </c>
      <c r="AD41">
        <v>0</v>
      </c>
      <c r="ED41" t="s">
        <v>1746</v>
      </c>
      <c r="EE41" t="s">
        <v>1902</v>
      </c>
      <c r="ER41" t="s">
        <v>2346</v>
      </c>
      <c r="ES41" t="s">
        <v>2340</v>
      </c>
    </row>
    <row r="42" spans="1:149">
      <c r="A42" t="str">
        <f>'Translate&amp;Prices&amp;Logo'!$B$36</f>
        <v>Verona czarny połysk - maksymalna zalecana zalecana długość profilu 2500 mm</v>
      </c>
      <c r="B42">
        <v>1</v>
      </c>
      <c r="C42" t="s">
        <v>662</v>
      </c>
      <c r="D42">
        <v>0</v>
      </c>
      <c r="AA42" t="s">
        <v>2207</v>
      </c>
      <c r="AB42" t="s">
        <v>1097</v>
      </c>
      <c r="ED42" t="s">
        <v>1747</v>
      </c>
      <c r="EE42" t="s">
        <v>1903</v>
      </c>
      <c r="ER42" t="s">
        <v>2347</v>
      </c>
      <c r="ES42" t="s">
        <v>2341</v>
      </c>
    </row>
    <row r="43" spans="1:149">
      <c r="A43" t="str">
        <f>'Translate&amp;Prices&amp;Logo'!$B$38</f>
        <v>Verona braz - maksymalna zalecana zalecana długość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szampański - maksymalna zalecana zalecana długość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Inox szczotkowany - maksymalna zalecana zalecana długość profilu 2500 mm</v>
      </c>
      <c r="B45">
        <v>1</v>
      </c>
      <c r="C45" t="s">
        <v>662</v>
      </c>
      <c r="D45">
        <v>0</v>
      </c>
      <c r="AB45" t="s">
        <v>1218</v>
      </c>
      <c r="AC45">
        <v>0</v>
      </c>
      <c r="AD45">
        <v>0</v>
      </c>
      <c r="ED45" t="s">
        <v>1750</v>
      </c>
      <c r="EE45" t="s">
        <v>1906</v>
      </c>
      <c r="ER45" t="s">
        <v>2366</v>
      </c>
      <c r="ES45" t="s">
        <v>2360</v>
      </c>
    </row>
    <row r="46" spans="1:149">
      <c r="A46" t="str">
        <f>'Translate&amp;Prices&amp;Logo'!$B$41</f>
        <v>Verona Inox Acier szczotkowany - maksymalna zalecana zalecana długość profilu 2500 mm</v>
      </c>
      <c r="B46">
        <v>1</v>
      </c>
      <c r="C46" t="s">
        <v>662</v>
      </c>
      <c r="D46">
        <v>0</v>
      </c>
      <c r="ED46" t="s">
        <v>1751</v>
      </c>
      <c r="EE46" t="s">
        <v>1907</v>
      </c>
      <c r="ER46" t="s">
        <v>2367</v>
      </c>
      <c r="ES46" t="s">
        <v>2361</v>
      </c>
    </row>
    <row r="47" spans="1:149">
      <c r="A47" t="str">
        <f>'Translate&amp;Prices&amp;Logo'!$B$24</f>
        <v>Verona złota - maksymalna zalecana długość profilu 2150 mm</v>
      </c>
      <c r="B47">
        <v>1</v>
      </c>
      <c r="C47" t="s">
        <v>662</v>
      </c>
      <c r="D47">
        <v>0</v>
      </c>
      <c r="ED47" t="s">
        <v>1752</v>
      </c>
      <c r="EE47" t="s">
        <v>1908</v>
      </c>
      <c r="ER47" t="s">
        <v>2368</v>
      </c>
      <c r="ES47" t="s">
        <v>2362</v>
      </c>
    </row>
    <row r="48" spans="1:149">
      <c r="A48" t="str">
        <f>'Translate&amp;Prices&amp;Logo'!$B$56</f>
        <v>Verona złota szczotkowany - maksymalna zalecana zalecana długość profilu 2150 mm</v>
      </c>
      <c r="B48">
        <v>1</v>
      </c>
      <c r="C48" t="s">
        <v>662</v>
      </c>
      <c r="D48">
        <v>0</v>
      </c>
      <c r="ED48" t="s">
        <v>1753</v>
      </c>
      <c r="EE48" t="s">
        <v>1909</v>
      </c>
      <c r="ER48" t="s">
        <v>2369</v>
      </c>
      <c r="ES48" t="s">
        <v>2363</v>
      </c>
    </row>
    <row r="49" spans="1:149">
      <c r="A49" t="str">
        <f>'Translate&amp;Prices&amp;Logo'!$B$43</f>
        <v>Vivaro (elox.) - maksymalna zalecana zalecana długość profilu 2500 mm</v>
      </c>
      <c r="B49">
        <v>2</v>
      </c>
      <c r="C49" t="s">
        <v>662</v>
      </c>
      <c r="D49">
        <v>1</v>
      </c>
      <c r="AA49" t="s">
        <v>2208</v>
      </c>
      <c r="AB49" t="s">
        <v>2210</v>
      </c>
      <c r="ED49" t="s">
        <v>1754</v>
      </c>
      <c r="EE49" t="s">
        <v>1910</v>
      </c>
      <c r="ER49" t="s">
        <v>2370</v>
      </c>
      <c r="ES49" t="s">
        <v>2364</v>
      </c>
    </row>
    <row r="50" spans="1:149">
      <c r="A50" t="str">
        <f>'Translate&amp;Prices&amp;Logo'!$B$44</f>
        <v>Vivaro czarny matowy - maksymalna zalecana zalecana długość profilu 2500 mm</v>
      </c>
      <c r="B50">
        <v>2</v>
      </c>
      <c r="C50" t="s">
        <v>662</v>
      </c>
      <c r="D50">
        <v>1</v>
      </c>
      <c r="AB50" t="s">
        <v>2515</v>
      </c>
      <c r="AC50">
        <v>0</v>
      </c>
      <c r="AD50">
        <v>0</v>
      </c>
      <c r="ED50" t="s">
        <v>1755</v>
      </c>
      <c r="EE50" t="s">
        <v>1911</v>
      </c>
      <c r="ER50" t="s">
        <v>2371</v>
      </c>
      <c r="ES50" t="s">
        <v>2365</v>
      </c>
    </row>
    <row r="51" spans="1:149">
      <c r="A51" t="str">
        <f>'Translate&amp;Prices&amp;Logo'!$B$46</f>
        <v>Vivaro INOX (stal nierdzewna) - maksymalna zalecana zalecana długość profilu 2500 mm</v>
      </c>
      <c r="B51">
        <v>2</v>
      </c>
      <c r="C51" t="s">
        <v>662</v>
      </c>
      <c r="D51">
        <v>0</v>
      </c>
      <c r="AB51" t="s">
        <v>2517</v>
      </c>
      <c r="AC51">
        <v>0</v>
      </c>
      <c r="AD51">
        <v>0</v>
      </c>
      <c r="ED51" t="s">
        <v>1756</v>
      </c>
      <c r="EE51" t="s">
        <v>1912</v>
      </c>
      <c r="ER51" t="s">
        <v>2614</v>
      </c>
      <c r="ES51" t="s">
        <v>2606</v>
      </c>
    </row>
    <row r="52" spans="1:149">
      <c r="A52" t="str">
        <f>'Translate&amp;Prices&amp;Logo'!$B$47</f>
        <v>Vivaro biały matowy RAL 9003 - maksymalna zalecana zalecana długość profilu 2500 mm</v>
      </c>
      <c r="B52">
        <v>2</v>
      </c>
      <c r="C52" t="s">
        <v>662</v>
      </c>
      <c r="D52">
        <v>0</v>
      </c>
      <c r="AB52" t="s">
        <v>2512</v>
      </c>
      <c r="AC52">
        <v>0</v>
      </c>
      <c r="AD52">
        <v>0</v>
      </c>
      <c r="ED52" t="s">
        <v>1757</v>
      </c>
      <c r="EE52" t="s">
        <v>1913</v>
      </c>
      <c r="ER52" t="s">
        <v>2615</v>
      </c>
      <c r="ES52" t="s">
        <v>2607</v>
      </c>
    </row>
    <row r="53" spans="1:149">
      <c r="A53" t="str">
        <f>'Translate&amp;Prices&amp;Logo'!$B$48</f>
        <v>Vivaro biały połysk RAL 9003 - maksymalna zalecana zalecana długość profilu 2500 mm</v>
      </c>
      <c r="B53">
        <v>2</v>
      </c>
      <c r="C53" t="s">
        <v>662</v>
      </c>
      <c r="D53">
        <v>0</v>
      </c>
      <c r="AB53" t="s">
        <v>2513</v>
      </c>
      <c r="AC53">
        <v>0</v>
      </c>
      <c r="AD53">
        <v>0</v>
      </c>
      <c r="ED53" t="s">
        <v>1758</v>
      </c>
      <c r="EE53" t="s">
        <v>1914</v>
      </c>
      <c r="ER53" t="s">
        <v>2616</v>
      </c>
      <c r="ES53" t="s">
        <v>2608</v>
      </c>
    </row>
    <row r="54" spans="1:149">
      <c r="A54" t="str">
        <f>'Translate&amp;Prices&amp;Logo'!$B$31</f>
        <v>Vivaro złota - maksymalna zalecana zalecana długość profilu 2150 mm</v>
      </c>
      <c r="B54">
        <v>2</v>
      </c>
      <c r="C54" t="s">
        <v>662</v>
      </c>
      <c r="D54">
        <v>1</v>
      </c>
      <c r="ED54" t="s">
        <v>1759</v>
      </c>
      <c r="EE54" t="s">
        <v>1915</v>
      </c>
      <c r="ER54" t="s">
        <v>2617</v>
      </c>
      <c r="ES54" t="s">
        <v>2609</v>
      </c>
    </row>
    <row r="55" spans="1:149">
      <c r="A55" t="str">
        <f>'Translate&amp;Prices&amp;Logo'!$B$57</f>
        <v>Vivaro złota szczotkowany - maksymalna zalecana zalecana długość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(lewa i prawa) + Varna elox (góra i dół)</v>
      </c>
      <c r="B60">
        <v>3</v>
      </c>
      <c r="C60" t="s">
        <v>662</v>
      </c>
      <c r="D60">
        <v>0</v>
      </c>
      <c r="AB60" t="s">
        <v>1054</v>
      </c>
      <c r="AC60">
        <v>0</v>
      </c>
      <c r="AD60">
        <v>0</v>
      </c>
      <c r="ED60" t="s">
        <v>1765</v>
      </c>
      <c r="EE60" t="s">
        <v>1921</v>
      </c>
      <c r="ER60" t="s">
        <v>2351</v>
      </c>
      <c r="ES60" t="s">
        <v>2339</v>
      </c>
    </row>
    <row r="61" spans="1:149">
      <c r="A61" t="str">
        <f>'Translate&amp;Prices&amp;Logo'!$B$81</f>
        <v>Rocca czarny (lewa i prawa) + Varna czarny (góra i dół)</v>
      </c>
      <c r="B61">
        <v>3</v>
      </c>
      <c r="C61" t="s">
        <v>662</v>
      </c>
      <c r="D61">
        <v>0</v>
      </c>
      <c r="AB61" t="s">
        <v>1056</v>
      </c>
      <c r="AC61">
        <v>0</v>
      </c>
      <c r="AD61">
        <v>0</v>
      </c>
      <c r="ED61" t="s">
        <v>1766</v>
      </c>
      <c r="EE61" t="s">
        <v>1922</v>
      </c>
      <c r="ER61" t="s">
        <v>2352</v>
      </c>
      <c r="ES61" t="s">
        <v>2340</v>
      </c>
    </row>
    <row r="62" spans="1:149">
      <c r="A62" t="str">
        <f>'Translate&amp;Prices&amp;Logo'!$B$71</f>
        <v>ROMA czarna matowa -  maksymalna zalecana długość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maksymalna zalecana długość profilu 2696 mm</v>
      </c>
      <c r="B63">
        <v>1</v>
      </c>
      <c r="C63" t="s">
        <v>662</v>
      </c>
      <c r="D63">
        <v>0</v>
      </c>
      <c r="AB63" t="s">
        <v>1059</v>
      </c>
      <c r="AC63">
        <v>0</v>
      </c>
      <c r="AD63">
        <v>0</v>
      </c>
      <c r="ED63" t="s">
        <v>1768</v>
      </c>
      <c r="EE63" t="s">
        <v>1924</v>
      </c>
      <c r="ER63" t="s">
        <v>2620</v>
      </c>
      <c r="ES63" t="s">
        <v>2604</v>
      </c>
    </row>
    <row r="64" spans="1:149">
      <c r="A64" t="str">
        <f>'Translate&amp;Prices&amp;Logo'!$B$73</f>
        <v>ROMA GRIP czarna matowa - maksymalna zalecana długość profilu 2696 mm</v>
      </c>
      <c r="B64">
        <v>1</v>
      </c>
      <c r="C64" t="s">
        <v>662</v>
      </c>
      <c r="D64">
        <v>0</v>
      </c>
      <c r="ED64" t="s">
        <v>1769</v>
      </c>
      <c r="EE64" t="s">
        <v>1925</v>
      </c>
      <c r="ER64" t="s">
        <v>2621</v>
      </c>
      <c r="ES64" t="s">
        <v>2605</v>
      </c>
    </row>
    <row r="65" spans="1:149">
      <c r="A65" t="str">
        <f>'Translate&amp;Prices&amp;Logo'!$B$74</f>
        <v>ROMA GRIP champagne mat - maksymalna zalecana długość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maksymalna zalecana długość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359"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358" priority="3" stopIfTrue="1">
      <formula>AND(COUNTIF($A$37:$A$41, A17)+COUNTIF($A$3:$A$15, A17)+COUNTIF($A$17:$A$31, A17)+COUNTIF($A$33:$A$35, A17)+COUNTIF($A$43:$A$47, A17)+COUNTIF($A$49:$A$54, A17)+COUNTIF($A$56:$A$99, A17)&gt;1,NOT(ISBLANK(A17)))</formula>
    </cfRule>
  </conditionalFormatting>
  <conditionalFormatting sqref="A34 A54 A56 A62:A65">
    <cfRule type="expression" dxfId="357" priority="2" stopIfTrue="1">
      <formula>AND(COUNTIF($A$54:$A$54, A34)+COUNTIF($A$56:$A$59, A34)+COUNTIF($A$34:$A$34, A34)&gt;1,NOT(ISBLANK(A34)))</formula>
    </cfRule>
  </conditionalFormatting>
  <conditionalFormatting sqref="A72:A99 DW346:DW347">
    <cfRule type="expression" dxfId="356" priority="683" stopIfTrue="1">
      <formula>AND(COUNTIF($A$38:$A$42, A72)+COUNTIF($A$3:$A$15, A72)+COUNTIF($A$17:$A$31, A72)+COUNTIF($A$34:$A$36, A72)+COUNTIF($A$44:$A$48, A72)+COUNTIF($A$50:$A$55, A72)+COUNTIF($A$57:$A$99, A72)&gt;1,NOT(ISBLANK(A72)))</formula>
    </cfRule>
  </conditionalFormatting>
  <conditionalFormatting sqref="F14:F19">
    <cfRule type="duplicateValues" dxfId="355" priority="17"/>
  </conditionalFormatting>
  <conditionalFormatting sqref="P2:P61 P63:P65536">
    <cfRule type="expression" dxfId="354" priority="33" stopIfTrue="1">
      <formula>AND(COUNTIF($P$63:$P$65536, P2)+COUNTIF($P$2:$P$61, P2)&gt;1,NOT(ISBLANK(P2)))</formula>
    </cfRule>
  </conditionalFormatting>
  <conditionalFormatting sqref="Q2 Q4 Q6:Q12 Q15:Q20 Q22:Q23 Q26:Q54 S27:S30 Q68:Q65536">
    <cfRule type="expression" dxfId="353" priority="43" stopIfTrue="1">
      <formula>AND(COUNTIF($Q$68:$Q$65536, Q2)+COUNTIF($Q$2:$Q$2, Q2)+COUNTIF($Q$4:$Q$4, Q2)+COUNTIF($Q$6:$Q$54, Q2)&gt;1,NOT(ISBLANK(Q2)))</formula>
    </cfRule>
  </conditionalFormatting>
  <conditionalFormatting sqref="R4:R6">
    <cfRule type="duplicateValues" dxfId="352" priority="28"/>
  </conditionalFormatting>
  <conditionalFormatting sqref="R7 R9">
    <cfRule type="duplicateValues" dxfId="351" priority="40"/>
  </conditionalFormatting>
  <conditionalFormatting sqref="R10">
    <cfRule type="duplicateValues" dxfId="350" priority="27"/>
  </conditionalFormatting>
  <conditionalFormatting sqref="R11:R18 R29:R33">
    <cfRule type="duplicateValues" dxfId="349" priority="42"/>
  </conditionalFormatting>
  <conditionalFormatting sqref="R19:R20 R37:R39 R34">
    <cfRule type="duplicateValues" dxfId="348" priority="36"/>
  </conditionalFormatting>
  <conditionalFormatting sqref="R21:R23">
    <cfRule type="duplicateValues" dxfId="347" priority="26"/>
  </conditionalFormatting>
  <conditionalFormatting sqref="R49:R55">
    <cfRule type="duplicateValues" dxfId="346" priority="29"/>
  </conditionalFormatting>
  <conditionalFormatting sqref="R49:R61 R2 R63:R65536">
    <cfRule type="expression" dxfId="345" priority="32" stopIfTrue="1">
      <formula>AND(COUNTIF($R$2:$R$2, R2)+COUNTIF($R$63:$R$65536, R2)+COUNTIF($R$49:$R$61, R2)&gt;1,NOT(ISBLANK(R2)))</formula>
    </cfRule>
  </conditionalFormatting>
  <conditionalFormatting sqref="R56:R57">
    <cfRule type="duplicateValues" dxfId="344" priority="30"/>
  </conditionalFormatting>
  <conditionalFormatting sqref="R58:R61 R63">
    <cfRule type="expression" dxfId="343" priority="34" stopIfTrue="1">
      <formula>AND(COUNTIF($R$63:$R$63, R58)+COUNTIF($R$58:$R$61, R58)&gt;1,NOT(ISBLANK(R58)))</formula>
    </cfRule>
  </conditionalFormatting>
  <conditionalFormatting sqref="S4">
    <cfRule type="duplicateValues" dxfId="342" priority="25"/>
  </conditionalFormatting>
  <conditionalFormatting sqref="S6:S8 S10">
    <cfRule type="duplicateValues" dxfId="341" priority="47"/>
  </conditionalFormatting>
  <conditionalFormatting sqref="S12:S17">
    <cfRule type="duplicateValues" dxfId="340" priority="24"/>
  </conditionalFormatting>
  <conditionalFormatting sqref="S18:S19">
    <cfRule type="duplicateValues" dxfId="339" priority="23"/>
  </conditionalFormatting>
  <conditionalFormatting sqref="S20:S26">
    <cfRule type="duplicateValues" dxfId="338" priority="41"/>
  </conditionalFormatting>
  <conditionalFormatting sqref="S31:S52">
    <cfRule type="duplicateValues" dxfId="337" priority="46"/>
  </conditionalFormatting>
  <conditionalFormatting sqref="T4">
    <cfRule type="duplicateValues" dxfId="336" priority="22"/>
  </conditionalFormatting>
  <conditionalFormatting sqref="U4:U6">
    <cfRule type="duplicateValues" dxfId="335" priority="21"/>
  </conditionalFormatting>
  <conditionalFormatting sqref="U7:U14 U26:U30">
    <cfRule type="duplicateValues" dxfId="334" priority="44"/>
  </conditionalFormatting>
  <conditionalFormatting sqref="U15:U16 U31:U32">
    <cfRule type="duplicateValues" dxfId="333" priority="37"/>
  </conditionalFormatting>
  <conditionalFormatting sqref="U17:U19">
    <cfRule type="duplicateValues" dxfId="332" priority="20"/>
  </conditionalFormatting>
  <conditionalFormatting sqref="V4:V6">
    <cfRule type="duplicateValues" dxfId="331" priority="19"/>
  </conditionalFormatting>
  <conditionalFormatting sqref="V17:V19">
    <cfRule type="duplicateValues" dxfId="330" priority="18"/>
  </conditionalFormatting>
  <conditionalFormatting sqref="V21:V30 V7:V14">
    <cfRule type="duplicateValues" dxfId="329" priority="45"/>
  </conditionalFormatting>
  <conditionalFormatting sqref="V31:V32 V15:V16">
    <cfRule type="duplicateValues" dxfId="328" priority="38"/>
  </conditionalFormatting>
  <conditionalFormatting sqref="AC4:AC13 AC15:AC23 AC29:AC34 AC40:AC41 AC43:AC45 AC50:AC53 AC60:AC63">
    <cfRule type="cellIs" dxfId="327" priority="31" operator="equal">
      <formula>1</formula>
    </cfRule>
  </conditionalFormatting>
  <conditionalFormatting sqref="BQ9:BQ10">
    <cfRule type="duplicateValues" dxfId="326" priority="15"/>
  </conditionalFormatting>
  <conditionalFormatting sqref="BQ2:BR2">
    <cfRule type="duplicateValues" dxfId="325" priority="16"/>
  </conditionalFormatting>
  <conditionalFormatting sqref="DT2:DT44">
    <cfRule type="duplicateValues" dxfId="322" priority="9"/>
  </conditionalFormatting>
  <conditionalFormatting sqref="DT2:DT570">
    <cfRule type="duplicateValues" dxfId="321" priority="4"/>
  </conditionalFormatting>
  <conditionalFormatting sqref="DT45:DT87">
    <cfRule type="duplicateValues" dxfId="320" priority="7"/>
  </conditionalFormatting>
  <conditionalFormatting sqref="DT88:DT130">
    <cfRule type="duplicateValues" dxfId="319" priority="8"/>
  </conditionalFormatting>
  <conditionalFormatting sqref="DT131:DT173">
    <cfRule type="duplicateValues" dxfId="318" priority="10"/>
  </conditionalFormatting>
  <conditionalFormatting sqref="DT174:DT217">
    <cfRule type="duplicateValues" dxfId="317" priority="11"/>
  </conditionalFormatting>
  <conditionalFormatting sqref="DT257:DT287">
    <cfRule type="duplicateValues" dxfId="316" priority="14"/>
  </conditionalFormatting>
  <conditionalFormatting sqref="DU257:DU286">
    <cfRule type="duplicateValues" dxfId="315" priority="13"/>
  </conditionalFormatting>
  <conditionalFormatting sqref="DU287">
    <cfRule type="duplicateValues" dxfId="314"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6CEC3694-A249-4384-A768-23831A5FB0EB}">
            <xm:f>OR(Ram_6!$AU$10=1,Ram_6!$AU$10=3)</xm:f>
            <x14:dxf>
              <fill>
                <patternFill patternType="darkDown"/>
              </fill>
            </x14:dxf>
          </x14:cfRule>
          <xm:sqref>CH13</xm:sqref>
        </x14:conditionalFormatting>
        <x14:conditionalFormatting xmlns:xm="http://schemas.microsoft.com/office/excel/2006/main">
          <x14:cfRule type="expression" priority="6" id="{A11D4B68-F7CB-4421-AD27-772895D60A8F}">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DAE0-27D8-4272-8942-BCB5406661C4}">
  <sheetPr codeName="List11">
    <tabColor rgb="FF00B0F0"/>
  </sheetPr>
  <dimension ref="A1:AV138"/>
  <sheetViews>
    <sheetView workbookViewId="0"/>
  </sheetViews>
  <sheetFormatPr defaultColWidth="0" defaultRowHeight="14.85" customHeight="1" zeroHeight="1"/>
  <cols>
    <col min="1" max="2" width="9.42578125" style="103" customWidth="1"/>
    <col min="3" max="7" width="7" style="1" customWidth="1"/>
    <col min="8" max="8" width="5.42578125" style="1" customWidth="1"/>
    <col min="9" max="14" width="7.140625" style="1" customWidth="1"/>
    <col min="15" max="17" width="5.5703125" style="1" customWidth="1"/>
    <col min="18" max="18" width="4.42578125" style="1" customWidth="1"/>
    <col min="19" max="21" width="5.42578125" style="1" customWidth="1"/>
    <col min="22" max="22" width="3.42578125" style="1" customWidth="1"/>
    <col min="23" max="28" width="5.42578125" style="1" customWidth="1"/>
    <col min="29" max="29" width="3.42578125" style="1" customWidth="1"/>
    <col min="30" max="30" width="5.42578125" style="20" customWidth="1"/>
    <col min="31" max="31" width="5.42578125" style="18" customWidth="1"/>
    <col min="32" max="36" width="5.42578125" style="1" customWidth="1"/>
    <col min="37" max="37" width="3.42578125" style="1" customWidth="1"/>
    <col min="38" max="38" width="5.42578125" style="1" customWidth="1"/>
    <col min="39" max="39" width="3.42578125" style="1" customWidth="1"/>
    <col min="40" max="40" width="5.42578125" style="1" customWidth="1"/>
    <col min="41" max="41" width="2.5703125" style="1" hidden="1" customWidth="1"/>
    <col min="42" max="46" width="8.5703125" style="1" hidden="1" customWidth="1"/>
    <col min="47" max="48" width="8.5703125" style="19" hidden="1" customWidth="1"/>
    <col min="49" max="55" width="8.5703125" style="1" hidden="1" customWidth="1"/>
    <col min="56" max="16384" width="8.5703125" style="1" hidden="1"/>
  </cols>
  <sheetData>
    <row r="1" spans="1:41" ht="15">
      <c r="A1" s="101"/>
      <c r="B1" s="101"/>
      <c r="C1" s="81"/>
      <c r="D1" s="81"/>
      <c r="E1" s="81"/>
      <c r="F1" s="81"/>
      <c r="G1" s="81"/>
      <c r="H1" s="81"/>
      <c r="I1" s="81"/>
      <c r="J1" s="81"/>
      <c r="K1" s="81"/>
      <c r="L1" s="81"/>
      <c r="M1" s="81"/>
      <c r="N1" s="81"/>
      <c r="O1" s="81"/>
      <c r="P1" s="81"/>
      <c r="Q1" s="81"/>
      <c r="R1" s="81"/>
      <c r="S1" s="81"/>
      <c r="T1" s="81"/>
      <c r="U1" s="81"/>
    </row>
    <row r="2" spans="1:41" ht="15">
      <c r="A2" s="102"/>
      <c r="B2" s="10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8"/>
      <c r="AE2" s="29"/>
      <c r="AF2" s="27"/>
      <c r="AG2" s="27"/>
      <c r="AH2" s="27"/>
      <c r="AI2" s="27"/>
      <c r="AJ2" s="27"/>
      <c r="AK2" s="781" t="str">
        <f>'Translate&amp;Prices&amp;Logo'!$B$540</f>
        <v>Wprowadzenie</v>
      </c>
      <c r="AL2" s="782"/>
      <c r="AM2" s="782"/>
      <c r="AN2" s="782"/>
    </row>
    <row r="3" spans="1:41" ht="15">
      <c r="A3" s="102"/>
      <c r="B3" s="10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8"/>
      <c r="AE3" s="29"/>
      <c r="AF3" s="27"/>
      <c r="AG3" s="27"/>
      <c r="AH3" s="27"/>
      <c r="AI3" s="27"/>
      <c r="AJ3" s="27"/>
      <c r="AK3" s="781"/>
      <c r="AL3" s="782"/>
      <c r="AM3" s="782"/>
      <c r="AN3" s="782"/>
    </row>
    <row r="4" spans="1:41" ht="6.6" customHeight="1">
      <c r="A4" s="101"/>
      <c r="B4" s="101"/>
      <c r="C4" s="81"/>
      <c r="D4" s="81"/>
      <c r="E4" s="81"/>
      <c r="F4" s="81"/>
      <c r="G4" s="81"/>
      <c r="H4" s="81"/>
      <c r="I4" s="81"/>
      <c r="P4" s="783" t="str">
        <f>'Translate&amp;Prices&amp;Logo'!$B$169&amp;" "&amp;" "&amp;2</f>
        <v>Ramka  2</v>
      </c>
      <c r="Q4" s="783"/>
      <c r="R4" s="783"/>
      <c r="S4" s="783"/>
      <c r="T4" s="783"/>
      <c r="U4" s="783"/>
      <c r="V4" s="783"/>
      <c r="W4" s="783"/>
      <c r="X4" s="783"/>
      <c r="Y4" s="783"/>
      <c r="Z4" s="783"/>
      <c r="AA4" s="783"/>
      <c r="AB4" s="783"/>
      <c r="AC4" s="783"/>
    </row>
    <row r="5" spans="1:41" ht="15" customHeight="1">
      <c r="A5" s="101"/>
      <c r="B5" s="101"/>
      <c r="C5" s="81"/>
      <c r="D5" s="81"/>
      <c r="E5" s="81"/>
      <c r="F5" s="81"/>
      <c r="G5" s="81"/>
      <c r="H5" s="81"/>
      <c r="I5" s="81"/>
      <c r="P5" s="783"/>
      <c r="Q5" s="783"/>
      <c r="R5" s="783"/>
      <c r="S5" s="783"/>
      <c r="T5" s="783"/>
      <c r="U5" s="783"/>
      <c r="V5" s="783"/>
      <c r="W5" s="783"/>
      <c r="X5" s="783"/>
      <c r="Y5" s="783"/>
      <c r="Z5" s="783"/>
      <c r="AA5" s="783"/>
      <c r="AB5" s="783"/>
      <c r="AC5" s="783"/>
    </row>
    <row r="6" spans="1:41" ht="15">
      <c r="A6" s="101"/>
      <c r="B6" s="101"/>
      <c r="C6" s="81"/>
      <c r="D6" s="81"/>
      <c r="E6" s="81"/>
      <c r="F6" s="81"/>
      <c r="G6" s="81"/>
      <c r="H6" s="81"/>
      <c r="I6" s="81"/>
      <c r="J6" s="81"/>
      <c r="K6" s="81"/>
      <c r="L6" s="81"/>
      <c r="M6" s="81"/>
      <c r="N6" s="81"/>
      <c r="O6" s="81"/>
      <c r="P6" s="81"/>
      <c r="Q6" s="81"/>
      <c r="R6" s="81"/>
      <c r="S6" s="81"/>
      <c r="T6" s="81"/>
      <c r="U6" s="81"/>
    </row>
    <row r="7" spans="1:41" ht="14.85" hidden="1" customHeight="1">
      <c r="A7" s="101"/>
      <c r="B7" s="101"/>
      <c r="D7" s="83"/>
      <c r="E7" s="83"/>
      <c r="F7" s="83"/>
      <c r="G7" s="83"/>
      <c r="H7" s="83"/>
      <c r="I7" s="83"/>
      <c r="J7" s="81"/>
      <c r="K7" s="81"/>
      <c r="L7" s="81"/>
    </row>
    <row r="8" spans="1:41" ht="14.85" customHeight="1" thickBot="1">
      <c r="A8" s="101"/>
      <c r="B8" s="101"/>
      <c r="C8" s="81"/>
      <c r="D8" s="81"/>
      <c r="E8" s="81"/>
      <c r="F8" s="81"/>
      <c r="G8" s="81"/>
      <c r="H8" s="81"/>
      <c r="I8" s="81"/>
      <c r="J8" s="81"/>
      <c r="K8" s="81"/>
      <c r="L8" s="81"/>
      <c r="M8" s="81"/>
      <c r="N8" s="81"/>
      <c r="O8" s="81"/>
      <c r="P8" s="784" t="e">
        <f>#REF!</f>
        <v>#REF!</v>
      </c>
      <c r="Q8" s="784"/>
      <c r="R8" s="785" t="str">
        <f>'Translate&amp;Prices&amp;Logo'!$B$169&amp;" "&amp;" "&amp;1</f>
        <v>Ramka  1</v>
      </c>
      <c r="S8" s="785"/>
      <c r="T8" s="785"/>
      <c r="U8" s="84"/>
      <c r="V8" s="785" t="str">
        <f>'Translate&amp;Prices&amp;Logo'!$B$169&amp;" "&amp;" "&amp;2</f>
        <v>Ramka  2</v>
      </c>
      <c r="W8" s="785"/>
      <c r="X8" s="785"/>
      <c r="Y8" s="84"/>
      <c r="Z8" s="785" t="str">
        <f>'Translate&amp;Prices&amp;Logo'!$B$169&amp;" "&amp;" "&amp;3</f>
        <v>Ramka  3</v>
      </c>
      <c r="AA8" s="785"/>
      <c r="AB8" s="785"/>
      <c r="AC8" s="84"/>
      <c r="AD8" s="785" t="str">
        <f>'Translate&amp;Prices&amp;Logo'!$B$169&amp;" "&amp;" "&amp;4</f>
        <v>Ramka  4</v>
      </c>
      <c r="AE8" s="785"/>
      <c r="AF8" s="785"/>
      <c r="AG8" s="84"/>
      <c r="AH8" s="785" t="str">
        <f>'Translate&amp;Prices&amp;Logo'!$B$169&amp;" "&amp;" "&amp;5</f>
        <v>Ramka  5</v>
      </c>
      <c r="AI8" s="785"/>
      <c r="AJ8" s="785"/>
      <c r="AK8" s="84"/>
      <c r="AL8" s="785" t="str">
        <f>'Translate&amp;Prices&amp;Logo'!$B$169&amp;" "&amp;" "&amp;6</f>
        <v>Ramka  6</v>
      </c>
      <c r="AM8" s="785"/>
      <c r="AN8" s="785"/>
      <c r="AO8" s="84"/>
    </row>
    <row r="9" spans="1:41" ht="14.85" hidden="1" customHeight="1" thickTop="1">
      <c r="A9" s="81"/>
      <c r="B9" s="81"/>
    </row>
    <row r="10" spans="1:41" ht="15.75" thickTop="1">
      <c r="A10" s="1"/>
      <c r="B10" s="81"/>
      <c r="C10" s="81"/>
      <c r="D10" s="81"/>
      <c r="E10" s="81"/>
      <c r="F10" s="81"/>
      <c r="G10" s="81"/>
      <c r="H10" s="81"/>
      <c r="I10" s="81"/>
      <c r="J10" s="101"/>
      <c r="K10" s="101"/>
      <c r="L10" s="101"/>
      <c r="M10" s="103"/>
      <c r="N10" s="103"/>
      <c r="O10" s="103"/>
      <c r="P10" s="103"/>
      <c r="Q10" s="103"/>
      <c r="R10" s="103"/>
    </row>
    <row r="11" spans="1:41" ht="15.6" customHeight="1">
      <c r="A11" s="65"/>
      <c r="B11" s="91" t="e">
        <f>VLOOKUP(VLOOKUP(I15,'Translate&amp;Prices&amp;Logo'!B77:C671,2,0),'Translate&amp;Prices&amp;Logo'!B3:D587,3,0)</f>
        <v>#N/A</v>
      </c>
      <c r="C11" s="91" t="e">
        <f>VLOOKUP(VLOOKUP(I15,'Translate&amp;Prices&amp;Logo'!B77:D85,3,0),'Translate&amp;Prices&amp;Logo'!B:D,3,0)</f>
        <v>#N/A</v>
      </c>
      <c r="D11" s="65" t="e">
        <f>B11+C11</f>
        <v>#N/A</v>
      </c>
      <c r="E11" s="92"/>
      <c r="F11" s="65"/>
      <c r="G11" s="91"/>
      <c r="H11" s="91"/>
      <c r="I11" s="91"/>
      <c r="J11" s="91"/>
      <c r="K11" s="91"/>
      <c r="L11" s="91"/>
      <c r="M11" s="65"/>
      <c r="N11" s="65"/>
      <c r="O11" s="65"/>
      <c r="P11" s="65"/>
      <c r="Q11" s="65"/>
      <c r="R11" s="65"/>
      <c r="S11" s="65"/>
      <c r="T11" s="65"/>
      <c r="U11" s="65"/>
      <c r="V11" s="34"/>
      <c r="W11" s="35"/>
      <c r="X11" s="71"/>
      <c r="Y11" s="71"/>
      <c r="Z11" s="35"/>
      <c r="AA11" s="35"/>
      <c r="AB11" s="35"/>
      <c r="AC11" s="35"/>
      <c r="AD11" s="36"/>
      <c r="AE11" s="90"/>
      <c r="AF11" s="35"/>
      <c r="AG11" s="35"/>
      <c r="AH11" s="71"/>
      <c r="AI11" s="71"/>
      <c r="AJ11" s="35"/>
      <c r="AK11" s="37"/>
    </row>
    <row r="12" spans="1:41" ht="18.600000000000001" customHeight="1">
      <c r="A12" s="67"/>
      <c r="B12" s="91" t="s">
        <v>1306</v>
      </c>
      <c r="C12" s="81"/>
      <c r="D12" s="81"/>
      <c r="E12" s="81"/>
      <c r="F12" s="81"/>
      <c r="G12" s="81"/>
      <c r="H12" s="81"/>
      <c r="I12" s="81"/>
      <c r="J12" s="101"/>
      <c r="K12" s="101"/>
      <c r="L12" s="101"/>
      <c r="M12" s="103"/>
      <c r="N12" s="103"/>
      <c r="O12" s="103"/>
      <c r="P12" s="103"/>
      <c r="Q12" s="103"/>
      <c r="R12" s="103"/>
      <c r="S12" s="103"/>
      <c r="V12" s="43"/>
      <c r="W12" s="31"/>
      <c r="X12" s="32"/>
      <c r="Y12" s="32"/>
      <c r="Z12" s="32"/>
      <c r="AA12" s="32"/>
      <c r="AB12" s="60"/>
      <c r="AC12" s="60"/>
      <c r="AD12" s="61"/>
      <c r="AE12" s="777">
        <v>0</v>
      </c>
      <c r="AF12" s="32"/>
      <c r="AG12" s="32"/>
      <c r="AH12" s="32"/>
      <c r="AI12" s="32"/>
      <c r="AJ12" s="33"/>
      <c r="AK12" s="38"/>
    </row>
    <row r="13" spans="1:41" ht="15" customHeight="1">
      <c r="A13" s="66" t="s">
        <v>1313</v>
      </c>
      <c r="B13" s="66">
        <f>IFERROR(IF(kombinace_2!$H$1=TRUE,F14+D11,0),0)</f>
        <v>0</v>
      </c>
      <c r="C13" s="549" t="str">
        <f>'Translate&amp;Prices&amp;Logo'!$B$542</f>
        <v>Połączenie 2 profili</v>
      </c>
      <c r="D13" s="549"/>
      <c r="E13" s="549"/>
      <c r="F13" s="549"/>
      <c r="G13" s="549"/>
      <c r="H13" s="78"/>
      <c r="I13" s="778" t="str">
        <f>'Translate&amp;Prices&amp;Logo'!$B$561</f>
        <v>Ramka złożona z dwóch różnych profili</v>
      </c>
      <c r="J13" s="778"/>
      <c r="K13" s="778"/>
      <c r="L13" s="778"/>
      <c r="M13" s="778"/>
      <c r="N13" s="778"/>
      <c r="O13" s="778"/>
      <c r="P13" s="778"/>
      <c r="Q13" s="778"/>
      <c r="R13" s="778"/>
      <c r="S13" s="66"/>
      <c r="T13" s="65"/>
      <c r="U13" s="65"/>
      <c r="V13" s="58"/>
      <c r="X13" s="772" t="str">
        <f>'Translate&amp;Prices&amp;Logo'!$B$242</f>
        <v>Odległość od krawędzi</v>
      </c>
      <c r="Y13" s="772"/>
      <c r="Z13" s="772"/>
      <c r="AA13" s="772"/>
      <c r="AB13" s="772"/>
      <c r="AE13" s="777"/>
      <c r="AK13" s="58"/>
    </row>
    <row r="14" spans="1:41" ht="18.600000000000001" customHeight="1">
      <c r="A14" s="66"/>
      <c r="B14" s="91" t="e">
        <f>VLOOKUP(VLOOKUP(I15,'Translate&amp;Prices&amp;Logo'!B77:C85,2,0),'Translate&amp;Prices&amp;Logo'!B6:C590,2,0)</f>
        <v>#N/A</v>
      </c>
      <c r="C14" s="91" t="e">
        <f>VLOOKUP(VLOOKUP(I15,'Translate&amp;Prices&amp;Logo'!B77:D85,3,0),'Translate&amp;Prices&amp;Logo'!B6:D58,2,0)</f>
        <v>#N/A</v>
      </c>
      <c r="D14" s="65" t="e">
        <f>((AM19/1000)*2)*B14</f>
        <v>#N/A</v>
      </c>
      <c r="E14" s="92" t="e">
        <f>((AD35/1000)*2)*C14</f>
        <v>#N/A</v>
      </c>
      <c r="F14" s="92" t="e">
        <f>D14+E14</f>
        <v>#N/A</v>
      </c>
      <c r="G14" s="65"/>
      <c r="H14" s="65"/>
      <c r="I14" s="65"/>
      <c r="J14" s="65"/>
      <c r="K14" s="65"/>
      <c r="L14" s="65"/>
      <c r="M14" s="65"/>
      <c r="N14" s="65"/>
      <c r="O14" s="65"/>
      <c r="P14" s="65"/>
      <c r="Q14" s="65"/>
      <c r="R14" s="65"/>
      <c r="S14" s="65"/>
      <c r="T14" s="65"/>
      <c r="U14" s="65"/>
      <c r="V14" s="68"/>
      <c r="X14" s="779">
        <v>0</v>
      </c>
      <c r="Y14" s="779"/>
      <c r="Z14" s="66"/>
      <c r="AA14" s="766" t="str">
        <f>('Translate&amp;Prices&amp;Logo'!$B$548)&amp;" "&amp;I41&amp;" "&amp;"mm"</f>
        <v>Rozstaw  mm</v>
      </c>
      <c r="AB14" s="766"/>
      <c r="AC14" s="766"/>
      <c r="AD14" s="766"/>
      <c r="AE14" s="766"/>
      <c r="AF14" s="766"/>
      <c r="AK14" s="68"/>
    </row>
    <row r="15" spans="1:41" ht="15" customHeight="1">
      <c r="A15" s="66" t="s">
        <v>24</v>
      </c>
      <c r="B15" s="66">
        <f>IFERROR((((AD35/1000)+(AM19/1000))*2)*(VLOOKUP(I15,'Translate&amp;Prices&amp;Logo'!B6:C83,2,0))+(VLOOKUP(I15,'Translate&amp;Prices&amp;Logo'!B6:D83,3,0)),0)</f>
        <v>0</v>
      </c>
      <c r="C15" s="549" t="str">
        <f>'Translate&amp;Prices&amp;Logo'!$B$172</f>
        <v>Rodzaj profilu</v>
      </c>
      <c r="D15" s="549"/>
      <c r="E15" s="549"/>
      <c r="F15" s="549"/>
      <c r="G15" s="549"/>
      <c r="H15" s="78"/>
      <c r="I15" s="745" t="s">
        <v>556</v>
      </c>
      <c r="J15" s="745"/>
      <c r="K15" s="745"/>
      <c r="L15" s="745"/>
      <c r="M15" s="745"/>
      <c r="N15" s="745"/>
      <c r="O15" s="745"/>
      <c r="P15" s="745"/>
      <c r="Q15" s="745"/>
      <c r="R15" s="745"/>
      <c r="S15" s="66" t="e">
        <f>VLOOKUP(I15,kombinace_2!$A:$B,2,0)</f>
        <v>#N/A</v>
      </c>
      <c r="T15" s="65" t="e">
        <f>IF(S15=2,"Široký","Úzký")</f>
        <v>#N/A</v>
      </c>
      <c r="U15" s="65"/>
      <c r="V15" s="68"/>
      <c r="Y15" s="672">
        <v>0</v>
      </c>
      <c r="Z15" s="780" t="str">
        <f>'Translate&amp;Prices&amp;Logo'!$B$242</f>
        <v>Odległość od krawędzi</v>
      </c>
      <c r="AK15" s="68"/>
    </row>
    <row r="16" spans="1:41" ht="18.600000000000001" customHeight="1">
      <c r="A16" s="66"/>
      <c r="B16" s="67"/>
      <c r="S16" s="65"/>
      <c r="T16" s="65"/>
      <c r="U16" s="65"/>
      <c r="V16" s="69"/>
      <c r="W16" s="7"/>
      <c r="Y16" s="672"/>
      <c r="Z16" s="780"/>
      <c r="AJ16" s="6"/>
      <c r="AK16" s="38"/>
    </row>
    <row r="17" spans="1:39" ht="15" customHeight="1">
      <c r="A17" s="66" t="s">
        <v>1018</v>
      </c>
      <c r="B17" s="66">
        <f>((I20+N20)*2)*'Translate&amp;Prices&amp;Logo'!C97</f>
        <v>0</v>
      </c>
      <c r="C17" s="549">
        <f>IFERROR(IF(VLOOKUP(I15,kombinace_2!$A:$D,4,0)=1,'Translate&amp;Prices&amp;Logo'!$B$543,0),0)</f>
        <v>0</v>
      </c>
      <c r="D17" s="549"/>
      <c r="E17" s="549"/>
      <c r="F17" s="549"/>
      <c r="G17" s="549"/>
      <c r="H17" s="78"/>
      <c r="I17" s="745" t="s">
        <v>1296</v>
      </c>
      <c r="J17" s="745"/>
      <c r="K17" s="745"/>
      <c r="L17" s="745"/>
      <c r="M17" s="745"/>
      <c r="N17" s="745"/>
      <c r="O17" s="745"/>
      <c r="P17" s="745"/>
      <c r="Q17" s="745"/>
      <c r="R17" s="745"/>
      <c r="S17" s="66" t="e">
        <f>VLOOKUP(I21,kombinace_2!$DP:$DQ,2,0)</f>
        <v>#N/A</v>
      </c>
      <c r="T17" s="65"/>
      <c r="U17" s="65"/>
      <c r="V17" s="69"/>
      <c r="W17" s="7"/>
      <c r="Y17" s="672"/>
      <c r="Z17" s="780"/>
      <c r="AJ17" s="6"/>
      <c r="AK17" s="38"/>
    </row>
    <row r="18" spans="1:39" ht="18.600000000000001" customHeight="1">
      <c r="A18" s="66"/>
      <c r="B18" s="66"/>
      <c r="I18" s="775" t="str">
        <f>kombinace_2!$BY$14</f>
        <v>Pionowo (termin dostawy 4 tygodnie)</v>
      </c>
      <c r="J18" s="775"/>
      <c r="K18" s="775"/>
      <c r="L18" s="775"/>
      <c r="M18" s="775"/>
      <c r="N18" s="775" t="str">
        <f>kombinace_2!$BY$15</f>
        <v>Poziomo i pionowo (termin dostawy 4 tygodnie)</v>
      </c>
      <c r="O18" s="775"/>
      <c r="P18" s="775"/>
      <c r="Q18" s="775"/>
      <c r="R18" s="775"/>
      <c r="S18" s="65">
        <f>IFERROR(VLOOKUP(I17,kombinace_2!$BY$13:$BZ$16,2,0),0)</f>
        <v>0</v>
      </c>
      <c r="T18" s="65"/>
      <c r="U18" s="65"/>
      <c r="V18" s="69"/>
      <c r="W18" s="7"/>
      <c r="Y18" s="66"/>
      <c r="Z18" s="780"/>
      <c r="AJ18" s="6"/>
      <c r="AK18" s="38"/>
    </row>
    <row r="19" spans="1:39" ht="15" customHeight="1">
      <c r="A19" s="66" t="s">
        <v>1018</v>
      </c>
      <c r="B19" s="66">
        <f>IF(S18=1,I20*'Translate&amp;Prices&amp;Logo'!C51,IF(S18=2,N20*'Translate&amp;Prices&amp;Logo'!C51,IF(S18=3,(I20+N20)*'Translate&amp;Prices&amp;Logo'!C51,IF(S18=0,0))))</f>
        <v>0</v>
      </c>
      <c r="C19" s="549" t="str">
        <f>('Translate&amp;Prices&amp;Logo'!$B$543)&amp;" "&amp;"("&amp;'Translate&amp;Prices&amp;Logo'!$B$174&amp;")"</f>
        <v>Szprosy (Ilość sztuk)</v>
      </c>
      <c r="D19" s="549"/>
      <c r="E19" s="549"/>
      <c r="F19" s="549"/>
      <c r="G19" s="549"/>
      <c r="H19" s="78"/>
      <c r="I19" s="769"/>
      <c r="J19" s="769"/>
      <c r="K19" s="769"/>
      <c r="L19" s="769"/>
      <c r="M19" s="769"/>
      <c r="N19" s="769"/>
      <c r="O19" s="769"/>
      <c r="P19" s="769"/>
      <c r="Q19" s="769"/>
      <c r="R19" s="769"/>
      <c r="S19" s="66"/>
      <c r="T19" s="65"/>
      <c r="U19" s="65"/>
      <c r="V19" s="69"/>
      <c r="W19" s="7"/>
      <c r="Y19" s="699" t="str">
        <f>('Translate&amp;Prices&amp;Logo'!$B$548)&amp;" "&amp;I41&amp;" "&amp;"mm"</f>
        <v>Rozstaw  mm</v>
      </c>
      <c r="Z19" s="780"/>
      <c r="AH19" s="682" t="str">
        <f>('Translate&amp;Prices&amp;Logo'!$B$548)&amp;" "&amp;I41&amp;" "&amp;"mm"</f>
        <v>Rozstaw  mm</v>
      </c>
      <c r="AJ19" s="62"/>
      <c r="AK19" s="38"/>
      <c r="AM19" s="729">
        <v>2100</v>
      </c>
    </row>
    <row r="20" spans="1:39" ht="18.600000000000001" customHeight="1">
      <c r="A20" s="66"/>
      <c r="B20" s="66"/>
      <c r="I20" s="770">
        <f>(AD35/1000)*I19</f>
        <v>0</v>
      </c>
      <c r="J20" s="770"/>
      <c r="K20" s="770"/>
      <c r="L20" s="770"/>
      <c r="M20" s="770"/>
      <c r="N20" s="770">
        <f>(AM19/1000)*N19</f>
        <v>0</v>
      </c>
      <c r="O20" s="770"/>
      <c r="P20" s="770"/>
      <c r="Q20" s="770"/>
      <c r="R20" s="770"/>
      <c r="S20" s="65"/>
      <c r="T20" s="65"/>
      <c r="U20" s="65"/>
      <c r="V20" s="69"/>
      <c r="W20" s="59"/>
      <c r="Y20" s="699"/>
      <c r="Z20" s="780"/>
      <c r="AH20" s="682"/>
      <c r="AJ20" s="62"/>
      <c r="AK20" s="38"/>
      <c r="AM20" s="729"/>
    </row>
    <row r="21" spans="1:39" ht="15" customHeight="1">
      <c r="A21" s="66" t="s">
        <v>1312</v>
      </c>
      <c r="B21" s="66"/>
      <c r="C21" s="549" t="str">
        <f>'Translate&amp;Prices&amp;Logo'!$B$258</f>
        <v>Typ okucia</v>
      </c>
      <c r="D21" s="549"/>
      <c r="E21" s="549"/>
      <c r="F21" s="549"/>
      <c r="G21" s="549"/>
      <c r="H21" s="78"/>
      <c r="I21" s="745" t="s">
        <v>401</v>
      </c>
      <c r="J21" s="745"/>
      <c r="K21" s="745"/>
      <c r="L21" s="745"/>
      <c r="M21" s="745"/>
      <c r="N21" s="745"/>
      <c r="O21" s="745"/>
      <c r="P21" s="745"/>
      <c r="Q21" s="745"/>
      <c r="R21" s="745"/>
      <c r="S21" s="66"/>
      <c r="T21" s="65"/>
      <c r="U21" s="65"/>
      <c r="V21" s="69"/>
      <c r="W21" s="59"/>
      <c r="Y21" s="699"/>
      <c r="Z21" s="780"/>
      <c r="AH21" s="682"/>
      <c r="AJ21" s="62"/>
      <c r="AK21" s="38"/>
      <c r="AM21" s="729"/>
    </row>
    <row r="22" spans="1:39" ht="18.600000000000001" customHeight="1">
      <c r="A22" s="66"/>
      <c r="B22" s="66"/>
      <c r="S22" s="65"/>
      <c r="T22" s="65"/>
      <c r="U22" s="65"/>
      <c r="V22" s="69"/>
      <c r="W22" s="59"/>
      <c r="Y22" s="699"/>
      <c r="AH22" s="682"/>
      <c r="AJ22" s="62"/>
      <c r="AK22" s="38"/>
      <c r="AM22" s="729"/>
    </row>
    <row r="23" spans="1:39" ht="15" customHeight="1">
      <c r="A23" s="66" t="s">
        <v>1311</v>
      </c>
      <c r="B23" s="66"/>
      <c r="C23" s="549" t="str">
        <f>'Translate&amp;Prices&amp;Logo'!$B$544</f>
        <v>Marka okucia</v>
      </c>
      <c r="D23" s="549"/>
      <c r="E23" s="549"/>
      <c r="F23" s="549"/>
      <c r="G23" s="549"/>
      <c r="H23" s="78"/>
      <c r="I23" s="745" t="s">
        <v>566</v>
      </c>
      <c r="J23" s="745"/>
      <c r="K23" s="745"/>
      <c r="L23" s="745"/>
      <c r="M23" s="745"/>
      <c r="N23" s="745"/>
      <c r="O23" s="745"/>
      <c r="P23" s="745"/>
      <c r="Q23" s="745"/>
      <c r="R23" s="745"/>
      <c r="S23" s="66"/>
      <c r="T23" s="65"/>
      <c r="U23" s="65"/>
      <c r="V23" s="69"/>
      <c r="W23" s="59"/>
      <c r="Y23" s="699"/>
      <c r="AH23" s="682"/>
      <c r="AJ23" s="62"/>
      <c r="AK23" s="38"/>
      <c r="AM23" s="729"/>
    </row>
    <row r="24" spans="1:39" ht="18.600000000000001" customHeight="1">
      <c r="A24" s="66"/>
      <c r="B24" s="66"/>
      <c r="I24" s="771"/>
      <c r="J24" s="771"/>
      <c r="K24" s="771"/>
      <c r="L24" s="771"/>
      <c r="M24" s="771"/>
      <c r="N24" s="771"/>
      <c r="O24" s="771"/>
      <c r="P24" s="771"/>
      <c r="Q24" s="771"/>
      <c r="R24" s="771"/>
      <c r="S24" s="65"/>
      <c r="T24" s="65"/>
      <c r="U24" s="65"/>
      <c r="V24" s="68"/>
      <c r="W24" s="673">
        <v>0</v>
      </c>
      <c r="X24" s="673"/>
      <c r="Y24" s="699"/>
      <c r="AG24" s="767" t="str">
        <f>'Translate&amp;Prices&amp;Logo'!$B$242</f>
        <v>Odległość od krawędzi</v>
      </c>
      <c r="AH24" s="682"/>
      <c r="AI24" s="673">
        <v>0</v>
      </c>
      <c r="AJ24" s="673"/>
      <c r="AK24" s="58"/>
      <c r="AM24" s="768" t="str">
        <f>'Translate&amp;Prices&amp;Logo'!$B$176</f>
        <v>Wysokość</v>
      </c>
    </row>
    <row r="25" spans="1:39" ht="15" customHeight="1">
      <c r="A25" s="66" t="s">
        <v>401</v>
      </c>
      <c r="B25" s="66"/>
      <c r="C25" s="761">
        <f>IFERROR(IF(I21='Translate&amp;Prices&amp;Logo'!B551,'Translate&amp;Prices&amp;Logo'!$B$546,0),0)</f>
        <v>0</v>
      </c>
      <c r="D25" s="761"/>
      <c r="E25" s="761"/>
      <c r="F25" s="761"/>
      <c r="G25" s="761"/>
      <c r="H25" s="77"/>
      <c r="I25" s="762" t="s">
        <v>69</v>
      </c>
      <c r="J25" s="762"/>
      <c r="K25" s="762"/>
      <c r="L25" s="762"/>
      <c r="M25" s="762"/>
      <c r="N25" s="762"/>
      <c r="O25" s="762"/>
      <c r="P25" s="762"/>
      <c r="Q25" s="762"/>
      <c r="R25" s="762"/>
      <c r="S25" s="66" t="e">
        <f>VLOOKUP(I31,kombinace_2!$BY:$BZ,2,0)</f>
        <v>#N/A</v>
      </c>
      <c r="U25" s="65"/>
      <c r="V25" s="69"/>
      <c r="W25" s="7"/>
      <c r="Y25" s="699"/>
      <c r="AG25" s="767"/>
      <c r="AH25" s="682"/>
      <c r="AJ25" s="62"/>
      <c r="AK25" s="38"/>
      <c r="AM25" s="768"/>
    </row>
    <row r="26" spans="1:39" ht="18.600000000000001" customHeight="1">
      <c r="A26" s="66"/>
      <c r="B26" s="66"/>
      <c r="S26" s="65"/>
      <c r="T26" s="65"/>
      <c r="U26" s="65"/>
      <c r="V26" s="69"/>
      <c r="W26" s="7"/>
      <c r="Y26" s="699"/>
      <c r="AG26" s="767"/>
      <c r="AH26" s="682"/>
      <c r="AJ26" s="6"/>
      <c r="AK26" s="38"/>
      <c r="AM26" s="768"/>
    </row>
    <row r="27" spans="1:39" ht="15" customHeight="1">
      <c r="A27" s="66" t="s">
        <v>1307</v>
      </c>
      <c r="B27" s="66"/>
      <c r="C27" s="549" t="str">
        <f>'Translate&amp;Prices&amp;Logo'!$B$545</f>
        <v>Wariant okucia</v>
      </c>
      <c r="D27" s="549"/>
      <c r="E27" s="549"/>
      <c r="F27" s="549"/>
      <c r="G27" s="549"/>
      <c r="H27" s="78"/>
      <c r="I27" s="745" t="s">
        <v>1464</v>
      </c>
      <c r="J27" s="745"/>
      <c r="K27" s="745"/>
      <c r="L27" s="745"/>
      <c r="M27" s="745"/>
      <c r="N27" s="745"/>
      <c r="O27" s="745"/>
      <c r="P27" s="745"/>
      <c r="Q27" s="745"/>
      <c r="R27" s="745"/>
      <c r="S27" s="66">
        <f>IFERROR(VLOOKUP(I27,kombinace_1!$CD:$CF,3,0),0)</f>
        <v>0</v>
      </c>
      <c r="T27" s="65"/>
      <c r="U27" s="65"/>
      <c r="V27" s="69"/>
      <c r="W27" s="7"/>
      <c r="AG27" s="767"/>
      <c r="AH27" s="66"/>
      <c r="AJ27" s="6"/>
      <c r="AK27" s="38"/>
      <c r="AM27" s="768"/>
    </row>
    <row r="28" spans="1:39" ht="18.600000000000001" customHeight="1">
      <c r="A28" s="66"/>
      <c r="B28" s="66"/>
      <c r="C28" s="763" t="str">
        <f>'Translate&amp;Prices&amp;Logo'!$B$218</f>
        <v>Wybierz pozycję ramki</v>
      </c>
      <c r="D28" s="763"/>
      <c r="E28" s="763"/>
      <c r="F28" s="763"/>
      <c r="G28" s="764"/>
      <c r="H28" s="764"/>
      <c r="I28" s="764"/>
      <c r="J28" s="764"/>
      <c r="K28" s="763" t="str">
        <f>'Translate&amp;Prices&amp;Logo'!$B$232</f>
        <v>Rodzaj drugiej ramki</v>
      </c>
      <c r="L28" s="763"/>
      <c r="M28" s="763"/>
      <c r="N28" s="763"/>
      <c r="O28" s="764"/>
      <c r="P28" s="764"/>
      <c r="Q28" s="764"/>
      <c r="R28" s="764"/>
      <c r="S28" s="65"/>
      <c r="T28" s="65"/>
      <c r="U28" s="65"/>
      <c r="V28" s="69"/>
      <c r="W28" s="7"/>
      <c r="AG28" s="767"/>
      <c r="AH28" s="681">
        <v>0</v>
      </c>
      <c r="AJ28" s="6"/>
      <c r="AK28" s="38"/>
      <c r="AM28" s="768"/>
    </row>
    <row r="29" spans="1:39" ht="15" customHeight="1">
      <c r="A29" s="66" t="s">
        <v>1308</v>
      </c>
      <c r="B29" s="66"/>
      <c r="C29" s="549">
        <f>IFERROR(IF(VLOOKUP(I27,kombinace_2!CD:CE,2,0)=1,'Translate&amp;Prices&amp;Logo'!$B$547,0),0)</f>
        <v>0</v>
      </c>
      <c r="D29" s="549"/>
      <c r="E29" s="549"/>
      <c r="F29" s="549"/>
      <c r="G29" s="549"/>
      <c r="H29" s="78"/>
      <c r="I29" s="745"/>
      <c r="J29" s="745"/>
      <c r="K29" s="745"/>
      <c r="L29" s="745"/>
      <c r="M29" s="745"/>
      <c r="N29" s="745"/>
      <c r="O29" s="745"/>
      <c r="P29" s="745"/>
      <c r="Q29" s="745"/>
      <c r="R29" s="745"/>
      <c r="S29" s="66"/>
      <c r="T29" s="65"/>
      <c r="U29" s="65"/>
      <c r="V29" s="69"/>
      <c r="W29" s="7"/>
      <c r="X29" s="772" t="str">
        <f>'Translate&amp;Prices&amp;Logo'!$B$242</f>
        <v>Odległość od krawędzi</v>
      </c>
      <c r="Y29" s="772"/>
      <c r="Z29" s="772"/>
      <c r="AA29" s="772"/>
      <c r="AB29" s="772"/>
      <c r="AG29" s="767"/>
      <c r="AH29" s="681"/>
      <c r="AJ29" s="6"/>
      <c r="AK29" s="70"/>
    </row>
    <row r="30" spans="1:39" ht="18.600000000000001" customHeight="1">
      <c r="A30" s="66"/>
      <c r="B30" s="66"/>
      <c r="S30" s="65"/>
      <c r="T30" s="65"/>
      <c r="U30" s="65"/>
      <c r="V30" s="69"/>
      <c r="W30" s="7"/>
      <c r="X30" s="765">
        <v>0</v>
      </c>
      <c r="Y30" s="765"/>
      <c r="Z30" s="66"/>
      <c r="AA30" s="766" t="str">
        <f>('Translate&amp;Prices&amp;Logo'!$B$548)&amp;" "&amp;I41&amp;" "&amp;"mm"</f>
        <v>Rozstaw  mm</v>
      </c>
      <c r="AB30" s="766"/>
      <c r="AC30" s="766"/>
      <c r="AD30" s="766"/>
      <c r="AE30" s="766"/>
      <c r="AF30" s="766"/>
      <c r="AG30" s="767"/>
      <c r="AH30" s="681"/>
      <c r="AJ30" s="6"/>
      <c r="AK30" s="70"/>
    </row>
    <row r="31" spans="1:39" ht="15" customHeight="1">
      <c r="A31" s="66" t="s">
        <v>1309</v>
      </c>
      <c r="B31" s="66"/>
      <c r="C31" s="776">
        <f>IFERROR(IF(I21='Translate&amp;Prices&amp;Logo'!B551,'Translate&amp;Prices&amp;Logo'!$B$238,IF(VLOOKUP(I27,kombinace_1!CD:CE,2,0)=1,0)),0)</f>
        <v>0</v>
      </c>
      <c r="D31" s="776"/>
      <c r="E31" s="776"/>
      <c r="F31" s="776"/>
      <c r="G31" s="776"/>
      <c r="H31" s="79"/>
      <c r="I31" s="762" t="s">
        <v>103</v>
      </c>
      <c r="J31" s="762"/>
      <c r="K31" s="762"/>
      <c r="L31" s="762"/>
      <c r="M31" s="762"/>
      <c r="N31" s="762"/>
      <c r="O31" s="762"/>
      <c r="P31" s="762"/>
      <c r="Q31" s="762"/>
      <c r="R31" s="762"/>
      <c r="S31" s="66" t="e">
        <f>VLOOKUP(I31,kombinace_2!$BY:$BZ,2,0)</f>
        <v>#N/A</v>
      </c>
      <c r="T31" s="65"/>
      <c r="U31" s="65"/>
      <c r="V31" s="69"/>
      <c r="W31" s="7"/>
      <c r="AE31" s="760">
        <v>0</v>
      </c>
      <c r="AJ31" s="6"/>
      <c r="AK31" s="38"/>
    </row>
    <row r="32" spans="1:39" ht="18.600000000000001" customHeight="1">
      <c r="A32" s="66"/>
      <c r="B32" s="66"/>
      <c r="C32" s="763"/>
      <c r="D32" s="763"/>
      <c r="E32" s="763"/>
      <c r="F32" s="763"/>
      <c r="G32" s="764"/>
      <c r="H32" s="764"/>
      <c r="I32" s="764"/>
      <c r="J32" s="764"/>
      <c r="K32" s="763"/>
      <c r="L32" s="763"/>
      <c r="M32" s="763"/>
      <c r="N32" s="763"/>
      <c r="O32" s="764"/>
      <c r="P32" s="764"/>
      <c r="Q32" s="764"/>
      <c r="R32" s="764"/>
      <c r="S32" s="65" t="e">
        <f>CONCATENATE(S31,"_",I33)</f>
        <v>#N/A</v>
      </c>
      <c r="T32" s="65"/>
      <c r="U32" s="65"/>
      <c r="V32" s="43"/>
      <c r="W32" s="8"/>
      <c r="X32" s="9"/>
      <c r="Y32" s="9"/>
      <c r="Z32" s="9"/>
      <c r="AA32" s="9"/>
      <c r="AB32" s="9"/>
      <c r="AC32" s="63"/>
      <c r="AD32" s="64"/>
      <c r="AE32" s="760"/>
      <c r="AF32" s="9"/>
      <c r="AG32" s="9"/>
      <c r="AH32" s="9"/>
      <c r="AI32" s="9"/>
      <c r="AJ32" s="10"/>
      <c r="AK32" s="38"/>
    </row>
    <row r="33" spans="1:37" ht="15" customHeight="1">
      <c r="A33" s="66" t="s">
        <v>1310</v>
      </c>
      <c r="B33" s="66"/>
      <c r="C33" s="761">
        <f>IFERROR(IF(I21='Translate&amp;Prices&amp;Logo'!B551,'Translate&amp;Prices&amp;Logo'!$B$223,IF(VLOOKUP(I27,kombinace_2!CD:CE,2,0)=1,'Translate&amp;Prices&amp;Logo'!$B$223,)),0)</f>
        <v>0</v>
      </c>
      <c r="D33" s="761"/>
      <c r="E33" s="761"/>
      <c r="F33" s="761"/>
      <c r="G33" s="761"/>
      <c r="H33" s="79"/>
      <c r="I33" s="762"/>
      <c r="J33" s="762"/>
      <c r="K33" s="762"/>
      <c r="L33" s="762"/>
      <c r="M33" s="762"/>
      <c r="N33" s="762"/>
      <c r="O33" s="762"/>
      <c r="P33" s="762"/>
      <c r="Q33" s="762"/>
      <c r="R33" s="762"/>
      <c r="S33" s="66" t="e">
        <f>VLOOKUP(I43,kombinace_2!$BY:$BZ,2,0)</f>
        <v>#N/A</v>
      </c>
      <c r="T33" s="65"/>
      <c r="U33" s="65"/>
      <c r="V33" s="40"/>
      <c r="W33" s="41"/>
      <c r="X33" s="72"/>
      <c r="Y33" s="72"/>
      <c r="Z33" s="41"/>
      <c r="AA33" s="41"/>
      <c r="AB33" s="41"/>
      <c r="AC33" s="41"/>
      <c r="AD33" s="42"/>
      <c r="AE33" s="90"/>
      <c r="AF33" s="41"/>
      <c r="AG33" s="41"/>
      <c r="AH33" s="72"/>
      <c r="AI33" s="72"/>
      <c r="AJ33" s="41"/>
      <c r="AK33" s="39"/>
    </row>
    <row r="34" spans="1:37" ht="18.600000000000001" customHeight="1">
      <c r="A34" s="66"/>
      <c r="B34" s="66"/>
      <c r="C34" s="773">
        <f>IFERROR('Translate&amp;Prices&amp;Logo'!$B$242&amp;" "&amp;(VLOOKUP(I31,kombinace_1!$BY$32:$CA$35,2,0)),0)</f>
        <v>0</v>
      </c>
      <c r="D34" s="773"/>
      <c r="E34" s="773"/>
      <c r="F34" s="773"/>
      <c r="G34" s="774">
        <v>100</v>
      </c>
      <c r="H34" s="774"/>
      <c r="I34" s="774"/>
      <c r="J34" s="774"/>
      <c r="K34" s="773">
        <f>IFERROR('Translate&amp;Prices&amp;Logo'!$B$242&amp;" "&amp;(VLOOKUP(I31,kombinace_1!$BY$32:$CA$35,3,0)),0)</f>
        <v>0</v>
      </c>
      <c r="L34" s="773"/>
      <c r="M34" s="773"/>
      <c r="N34" s="773"/>
      <c r="O34" s="774">
        <v>100</v>
      </c>
      <c r="P34" s="774"/>
      <c r="Q34" s="774"/>
      <c r="R34" s="774"/>
      <c r="S34" s="65"/>
      <c r="T34" s="65"/>
      <c r="U34" s="65"/>
      <c r="V34" s="65" t="str">
        <f>VLOOKUP(I25,kombinace_2!$DN$7:$DO$18,2,0)</f>
        <v>Naložený</v>
      </c>
    </row>
    <row r="35" spans="1:37" ht="15" customHeight="1">
      <c r="A35" s="66" t="s">
        <v>1314</v>
      </c>
      <c r="B35" s="66">
        <f>IF(kombinace_2!V1=2,((AM19/1000)*(AD35/1000))*'Translate&amp;Prices&amp;Logo'!C94,0)</f>
        <v>0</v>
      </c>
      <c r="C35" s="549" t="str">
        <f>'Translate&amp;Prices&amp;Logo'!$B$173</f>
        <v>Rodzaj szkła</v>
      </c>
      <c r="D35" s="549"/>
      <c r="E35" s="549"/>
      <c r="F35" s="549"/>
      <c r="G35" s="549"/>
      <c r="H35" s="78"/>
      <c r="I35" s="758" t="str">
        <f>'Translate&amp;Prices&amp;Logo'!$B$100</f>
        <v>Příslušenství u broušení 1x</v>
      </c>
      <c r="J35" s="758"/>
      <c r="K35" s="758"/>
      <c r="L35" s="758" t="str">
        <f>'Translate&amp;Prices&amp;Logo'!$B$101</f>
        <v>Montáž okének - předěly za ks</v>
      </c>
      <c r="M35" s="758"/>
      <c r="N35" s="758"/>
      <c r="O35" s="758" t="str">
        <f>'Translate&amp;Prices&amp;Logo'!$B$102</f>
        <v>Folia</v>
      </c>
      <c r="P35" s="758"/>
      <c r="Q35" s="758"/>
      <c r="R35" s="54"/>
      <c r="S35" s="66"/>
      <c r="T35" s="65"/>
      <c r="U35" s="65"/>
      <c r="AA35" s="759" t="str">
        <f>'Translate&amp;Prices&amp;Logo'!$B$175</f>
        <v>Szerokość</v>
      </c>
      <c r="AB35" s="759"/>
      <c r="AC35" s="759"/>
      <c r="AD35" s="671">
        <v>1200</v>
      </c>
      <c r="AE35" s="671"/>
      <c r="AF35" s="671"/>
    </row>
    <row r="36" spans="1:37" s="44" customFormat="1" ht="18.600000000000001" customHeight="1">
      <c r="A36" s="93"/>
      <c r="B36" s="93"/>
      <c r="C36" s="1"/>
      <c r="D36" s="1"/>
      <c r="E36" s="1"/>
      <c r="F36" s="1"/>
      <c r="G36" s="1"/>
      <c r="H36" s="1"/>
      <c r="I36" s="735" t="str">
        <f>"↥↥"&amp;"   "&amp;'Translate&amp;Prices&amp;Logo'!$B$573&amp;" "&amp;C39&amp;"   "&amp;"↥↥"</f>
        <v>↥↥   Nie zmieniaj po wybraniu rodzaj szkła/siatka Rodzaj szkła   ↥↥</v>
      </c>
      <c r="J36" s="735"/>
      <c r="K36" s="735"/>
      <c r="L36" s="735"/>
      <c r="M36" s="735"/>
      <c r="N36" s="735"/>
      <c r="O36" s="735"/>
      <c r="P36" s="735"/>
      <c r="Q36" s="735"/>
      <c r="R36" s="735"/>
      <c r="S36" s="85"/>
      <c r="T36" s="85"/>
      <c r="U36" s="85"/>
      <c r="AD36" s="21"/>
      <c r="AE36" s="16"/>
    </row>
    <row r="37" spans="1:37" ht="15" customHeight="1">
      <c r="A37" s="66"/>
      <c r="B37" s="66">
        <f>IFERROR(((VLOOKUP(I37,'Translate&amp;Prices&amp;Logo'!B91:C93,2,0))*(AM19/1000)),0)</f>
        <v>0</v>
      </c>
      <c r="C37" s="549" t="str">
        <f>'Translate&amp;Prices&amp;Logo'!$B$562</f>
        <v>Rodzaj folii</v>
      </c>
      <c r="D37" s="549"/>
      <c r="E37" s="549"/>
      <c r="F37" s="549"/>
      <c r="G37" s="549"/>
      <c r="H37" s="78"/>
      <c r="I37" s="745"/>
      <c r="J37" s="745"/>
      <c r="K37" s="745"/>
      <c r="L37" s="745"/>
      <c r="M37" s="745"/>
      <c r="N37" s="745"/>
      <c r="O37" s="745"/>
      <c r="P37" s="745"/>
      <c r="Q37" s="745"/>
      <c r="R37" s="745"/>
      <c r="S37" s="66"/>
      <c r="T37" s="65"/>
      <c r="U37" s="65"/>
      <c r="V37" s="655" t="str">
        <f>'Translate&amp;Prices&amp;Logo'!$B$572</f>
        <v>Ważne informacje:</v>
      </c>
      <c r="W37" s="655"/>
      <c r="X37" s="655"/>
    </row>
    <row r="38" spans="1:37" s="44" customFormat="1" ht="18.600000000000001" customHeight="1">
      <c r="A38" s="93"/>
      <c r="B38" s="93"/>
      <c r="C38" s="1"/>
      <c r="D38" s="1"/>
      <c r="E38" s="1"/>
      <c r="F38" s="1"/>
      <c r="G38" s="1"/>
      <c r="H38" s="1"/>
      <c r="I38" s="1"/>
      <c r="J38" s="1"/>
      <c r="K38" s="1"/>
      <c r="L38" s="1"/>
      <c r="M38" s="1"/>
      <c r="N38" s="1"/>
      <c r="O38" s="1"/>
      <c r="P38" s="1"/>
      <c r="Q38" s="1"/>
      <c r="R38" s="1"/>
      <c r="S38" s="85"/>
      <c r="T38" s="85"/>
      <c r="U38" s="65"/>
      <c r="V38" s="111"/>
      <c r="W38" s="748">
        <f>IF(AND(S18&gt;0,I33&gt;=2),'Translate&amp;Prices&amp;Logo'!B303&amp;" "&amp;'Translate&amp;Prices&amp;Logo'!B571&amp;" "&amp;'Translate&amp;Prices&amp;Logo'!B575,IF(AND(S18&gt;0,I33&lt;2),'Translate&amp;Prices&amp;Logo'!B303&amp;" "&amp;'Translate&amp;Prices&amp;Logo'!B571,IF(AND(S18=0,I33&gt;=2),'Translate&amp;Prices&amp;Logo'!B575,0)))</f>
        <v>0</v>
      </c>
      <c r="X38" s="749"/>
      <c r="Y38" s="749"/>
      <c r="Z38" s="749"/>
      <c r="AA38" s="749"/>
      <c r="AB38" s="749"/>
      <c r="AC38" s="749"/>
      <c r="AD38" s="749"/>
      <c r="AE38" s="749"/>
      <c r="AF38" s="749"/>
      <c r="AG38" s="749"/>
      <c r="AH38" s="749"/>
      <c r="AI38" s="749"/>
      <c r="AJ38" s="749"/>
      <c r="AK38" s="750"/>
    </row>
    <row r="39" spans="1:37" ht="15" customHeight="1">
      <c r="A39" s="66" t="s">
        <v>5</v>
      </c>
      <c r="B39" s="66">
        <f>IFERROR((VLOOKUP(I39,'Translate&amp;Prices&amp;Logo'!B99:D163,2,0))*((AD35/1000)*(AM19/1000)),0)</f>
        <v>0</v>
      </c>
      <c r="C39" s="549" t="str">
        <f>'Translate&amp;Prices&amp;Logo'!$B$173</f>
        <v>Rodzaj szkła</v>
      </c>
      <c r="D39" s="549"/>
      <c r="E39" s="549"/>
      <c r="F39" s="549"/>
      <c r="G39" s="549"/>
      <c r="H39" s="78"/>
      <c r="I39" s="757"/>
      <c r="J39" s="757"/>
      <c r="K39" s="757"/>
      <c r="L39" s="757"/>
      <c r="M39" s="757"/>
      <c r="N39" s="757"/>
      <c r="O39" s="757"/>
      <c r="P39" s="757"/>
      <c r="Q39" s="757"/>
      <c r="R39" s="757"/>
      <c r="S39" s="66"/>
      <c r="T39" s="65"/>
      <c r="U39" s="65"/>
      <c r="V39" s="112"/>
      <c r="W39" s="751"/>
      <c r="X39" s="752"/>
      <c r="Y39" s="752"/>
      <c r="Z39" s="752"/>
      <c r="AA39" s="752"/>
      <c r="AB39" s="752"/>
      <c r="AC39" s="752"/>
      <c r="AD39" s="752"/>
      <c r="AE39" s="752"/>
      <c r="AF39" s="752"/>
      <c r="AG39" s="752"/>
      <c r="AH39" s="752"/>
      <c r="AI39" s="752"/>
      <c r="AJ39" s="752"/>
      <c r="AK39" s="753"/>
    </row>
    <row r="40" spans="1:37" ht="18.600000000000001" customHeight="1">
      <c r="A40" s="66"/>
      <c r="B40" s="66"/>
      <c r="S40" s="65"/>
      <c r="T40" s="65"/>
      <c r="U40" s="65"/>
      <c r="V40" s="112"/>
      <c r="W40" s="751"/>
      <c r="X40" s="752"/>
      <c r="Y40" s="752"/>
      <c r="Z40" s="752"/>
      <c r="AA40" s="752"/>
      <c r="AB40" s="752"/>
      <c r="AC40" s="752"/>
      <c r="AD40" s="752"/>
      <c r="AE40" s="752"/>
      <c r="AF40" s="752"/>
      <c r="AG40" s="752"/>
      <c r="AH40" s="752"/>
      <c r="AI40" s="752"/>
      <c r="AJ40" s="752"/>
      <c r="AK40" s="753"/>
    </row>
    <row r="41" spans="1:37" ht="15" customHeight="1">
      <c r="A41" s="66" t="s">
        <v>1315</v>
      </c>
      <c r="B41" s="66"/>
      <c r="C41" s="549" t="str">
        <f>'Translate&amp;Prices&amp;Logo'!$B$549</f>
        <v>Rozstaw uchwytu (mm)</v>
      </c>
      <c r="D41" s="549"/>
      <c r="E41" s="549"/>
      <c r="F41" s="549"/>
      <c r="G41" s="549"/>
      <c r="H41" s="78"/>
      <c r="I41" s="745"/>
      <c r="J41" s="745"/>
      <c r="K41" s="745"/>
      <c r="L41" s="745"/>
      <c r="M41" s="745"/>
      <c r="N41" s="745"/>
      <c r="O41" s="745"/>
      <c r="P41" s="745"/>
      <c r="Q41" s="745"/>
      <c r="R41" s="745"/>
      <c r="S41" s="66"/>
      <c r="T41" s="65"/>
      <c r="U41" s="65"/>
      <c r="V41" s="112"/>
      <c r="W41" s="754"/>
      <c r="X41" s="755"/>
      <c r="Y41" s="755"/>
      <c r="Z41" s="755"/>
      <c r="AA41" s="755"/>
      <c r="AB41" s="755"/>
      <c r="AC41" s="755"/>
      <c r="AD41" s="755"/>
      <c r="AE41" s="755"/>
      <c r="AF41" s="755"/>
      <c r="AG41" s="755"/>
      <c r="AH41" s="755"/>
      <c r="AI41" s="755"/>
      <c r="AJ41" s="755"/>
      <c r="AK41" s="756"/>
    </row>
    <row r="42" spans="1:37" ht="18.600000000000001" customHeight="1">
      <c r="A42" s="66"/>
      <c r="B42" s="66"/>
      <c r="S42" s="65"/>
      <c r="T42" s="65"/>
      <c r="U42" s="65"/>
      <c r="V42" s="112"/>
      <c r="W42" s="112"/>
      <c r="X42" s="112"/>
      <c r="Y42" s="112"/>
      <c r="Z42" s="112"/>
      <c r="AA42" s="112"/>
      <c r="AB42" s="112"/>
      <c r="AC42" s="112"/>
      <c r="AD42" s="112"/>
      <c r="AE42" s="112"/>
      <c r="AF42" s="112"/>
      <c r="AG42" s="112"/>
      <c r="AH42" s="112"/>
      <c r="AI42" s="112"/>
      <c r="AJ42" s="112"/>
      <c r="AK42" s="112"/>
    </row>
    <row r="43" spans="1:37" ht="15" customHeight="1">
      <c r="A43" s="66" t="s">
        <v>1316</v>
      </c>
      <c r="B43" s="66"/>
      <c r="C43" s="549" t="str">
        <f>'Translate&amp;Prices&amp;Logo'!$B$550</f>
        <v>Umieszczenie uchwytu</v>
      </c>
      <c r="D43" s="549"/>
      <c r="E43" s="549"/>
      <c r="F43" s="549"/>
      <c r="G43" s="549"/>
      <c r="H43" s="78"/>
      <c r="I43" s="745"/>
      <c r="J43" s="745"/>
      <c r="K43" s="745"/>
      <c r="L43" s="745"/>
      <c r="M43" s="745"/>
      <c r="N43" s="745"/>
      <c r="O43" s="745"/>
      <c r="P43" s="745"/>
      <c r="Q43" s="745"/>
      <c r="R43" s="745"/>
      <c r="S43" s="66"/>
      <c r="T43" s="65"/>
      <c r="U43" s="65"/>
      <c r="V43" s="655" t="str">
        <f>'Translate&amp;Prices&amp;Logo'!$B$177</f>
        <v>Uwagi (notatki)</v>
      </c>
      <c r="W43" s="655"/>
      <c r="X43" s="655"/>
      <c r="Y43" s="110"/>
      <c r="Z43" s="110"/>
      <c r="AA43" s="110"/>
      <c r="AB43" s="110"/>
      <c r="AC43" s="110"/>
      <c r="AD43" s="110"/>
      <c r="AE43" s="110"/>
      <c r="AF43" s="110"/>
      <c r="AG43" s="110"/>
      <c r="AH43" s="110"/>
      <c r="AI43" s="110"/>
      <c r="AJ43" s="110"/>
      <c r="AK43" s="110"/>
    </row>
    <row r="44" spans="1:37" ht="18.600000000000001" customHeight="1">
      <c r="A44" s="66"/>
      <c r="B44" s="66"/>
      <c r="S44" s="66"/>
      <c r="U44" s="65"/>
      <c r="V44" s="110"/>
      <c r="W44" s="736"/>
      <c r="X44" s="737"/>
      <c r="Y44" s="737"/>
      <c r="Z44" s="737"/>
      <c r="AA44" s="737"/>
      <c r="AB44" s="737"/>
      <c r="AC44" s="737"/>
      <c r="AD44" s="737"/>
      <c r="AE44" s="737"/>
      <c r="AF44" s="737"/>
      <c r="AG44" s="737"/>
      <c r="AH44" s="737"/>
      <c r="AI44" s="737"/>
      <c r="AJ44" s="737"/>
      <c r="AK44" s="738"/>
    </row>
    <row r="45" spans="1:37" ht="15" customHeight="1">
      <c r="A45" s="66" t="s">
        <v>1317</v>
      </c>
      <c r="B45" s="66">
        <f>I45</f>
        <v>1</v>
      </c>
      <c r="C45" s="549" t="str">
        <f>('Translate&amp;Prices&amp;Logo'!$B$174)&amp;" "&amp;"-"&amp;" "&amp;('Translate&amp;Prices&amp;Logo'!$B$169)&amp;" "&amp;" "&amp;2</f>
        <v>Ilość sztuk - Ramka  2</v>
      </c>
      <c r="D45" s="549"/>
      <c r="E45" s="549"/>
      <c r="F45" s="549"/>
      <c r="G45" s="549"/>
      <c r="H45" s="78"/>
      <c r="I45" s="745">
        <v>1</v>
      </c>
      <c r="J45" s="745"/>
      <c r="K45" s="745"/>
      <c r="L45" s="745"/>
      <c r="M45" s="745"/>
      <c r="N45" s="745"/>
      <c r="O45" s="745"/>
      <c r="P45" s="745"/>
      <c r="Q45" s="745"/>
      <c r="R45" s="745"/>
      <c r="S45" s="67"/>
      <c r="V45" s="110"/>
      <c r="W45" s="739"/>
      <c r="X45" s="740"/>
      <c r="Y45" s="740"/>
      <c r="Z45" s="740"/>
      <c r="AA45" s="740"/>
      <c r="AB45" s="740"/>
      <c r="AC45" s="740"/>
      <c r="AD45" s="740"/>
      <c r="AE45" s="740"/>
      <c r="AF45" s="740"/>
      <c r="AG45" s="740"/>
      <c r="AH45" s="740"/>
      <c r="AI45" s="740"/>
      <c r="AJ45" s="740"/>
      <c r="AK45" s="741"/>
    </row>
    <row r="46" spans="1:37" ht="18.600000000000001" customHeight="1">
      <c r="A46" s="66"/>
      <c r="B46" s="66"/>
      <c r="I46" s="746"/>
      <c r="J46" s="746"/>
      <c r="K46" s="747" t="str">
        <f>S46&amp;" "&amp;'Translate&amp;Prices&amp;Logo'!$B$225</f>
        <v>&lt;----- Dostarczyć łącznie z podanymi okuciami meblowymi</v>
      </c>
      <c r="L46" s="747"/>
      <c r="M46" s="747"/>
      <c r="N46" s="747"/>
      <c r="O46" s="747"/>
      <c r="P46" s="747"/>
      <c r="Q46" s="747"/>
      <c r="R46" s="747"/>
      <c r="S46" s="65" t="s">
        <v>1335</v>
      </c>
      <c r="W46" s="742"/>
      <c r="X46" s="743"/>
      <c r="Y46" s="743"/>
      <c r="Z46" s="743"/>
      <c r="AA46" s="743"/>
      <c r="AB46" s="743"/>
      <c r="AC46" s="743"/>
      <c r="AD46" s="743"/>
      <c r="AE46" s="743"/>
      <c r="AF46" s="743"/>
      <c r="AG46" s="743"/>
      <c r="AH46" s="743"/>
      <c r="AI46" s="743"/>
      <c r="AJ46" s="743"/>
      <c r="AK46" s="744"/>
    </row>
    <row r="47" spans="1:37" ht="21.75" thickBot="1">
      <c r="A47" s="66"/>
      <c r="B47" s="66"/>
      <c r="C47" s="730" t="str">
        <f>'Translate&amp;Prices&amp;Logo'!$B$178</f>
        <v>Cena ramek</v>
      </c>
      <c r="D47" s="730"/>
      <c r="E47" s="730"/>
      <c r="F47" s="730"/>
      <c r="G47" s="730"/>
      <c r="H47" s="730"/>
      <c r="I47" s="730"/>
      <c r="J47" s="730"/>
      <c r="K47" s="730"/>
      <c r="L47" s="45"/>
      <c r="M47" s="731">
        <f>((B13+B15+B17+B19+B35+B37+B39)*B45)*(1-Zakaznik!K21)</f>
        <v>0</v>
      </c>
      <c r="N47" s="731"/>
      <c r="O47" s="731"/>
      <c r="P47" s="731"/>
      <c r="Q47" s="731"/>
      <c r="R47" s="731"/>
    </row>
    <row r="48" spans="1:37" ht="15.75" thickTop="1">
      <c r="A48" s="65"/>
      <c r="B48" s="65"/>
      <c r="C48" s="732" t="str">
        <f>'Translate&amp;Prices&amp;Logo'!$B$171</f>
        <v>Podane ceny nie zawierają podatku VAT ani nie zawierają ceny okuć!</v>
      </c>
      <c r="D48" s="732"/>
      <c r="E48" s="732"/>
      <c r="F48" s="732"/>
      <c r="G48" s="732"/>
      <c r="H48" s="732"/>
      <c r="I48" s="732"/>
      <c r="J48" s="732"/>
      <c r="K48" s="732"/>
      <c r="L48" s="732"/>
      <c r="M48" s="732"/>
      <c r="N48" s="732"/>
      <c r="O48" s="732"/>
      <c r="P48" s="732"/>
      <c r="Q48" s="732"/>
      <c r="R48" s="732"/>
      <c r="AF48" s="733" t="str">
        <f>'Translate&amp;Prices&amp;Logo'!$B$567</f>
        <v>Podsumowanie</v>
      </c>
      <c r="AG48" s="734"/>
      <c r="AH48" s="734"/>
      <c r="AI48" s="734"/>
      <c r="AJ48" s="734"/>
      <c r="AK48" s="734"/>
    </row>
    <row r="49" spans="1:37" ht="15">
      <c r="A49" s="65"/>
      <c r="B49" s="65"/>
      <c r="AF49" s="733"/>
      <c r="AG49" s="734"/>
      <c r="AH49" s="734"/>
      <c r="AI49" s="734"/>
      <c r="AJ49" s="734"/>
      <c r="AK49" s="734"/>
    </row>
    <row r="138" ht="15"/>
  </sheetData>
  <sheetProtection selectLockedCells="1"/>
  <mergeCells count="94">
    <mergeCell ref="AK2:AN3"/>
    <mergeCell ref="P4:AC5"/>
    <mergeCell ref="P8:Q8"/>
    <mergeCell ref="R8:T8"/>
    <mergeCell ref="V8:X8"/>
    <mergeCell ref="Z8:AB8"/>
    <mergeCell ref="AD8:AF8"/>
    <mergeCell ref="AH8:AJ8"/>
    <mergeCell ref="AL8:AN8"/>
    <mergeCell ref="Z15:Z21"/>
    <mergeCell ref="I17:R17"/>
    <mergeCell ref="C15:G15"/>
    <mergeCell ref="I15:R15"/>
    <mergeCell ref="Y15:Y17"/>
    <mergeCell ref="C17:G17"/>
    <mergeCell ref="C21:G21"/>
    <mergeCell ref="AE12:AE13"/>
    <mergeCell ref="C13:G13"/>
    <mergeCell ref="I13:R13"/>
    <mergeCell ref="X13:AB13"/>
    <mergeCell ref="X14:Y14"/>
    <mergeCell ref="AA14:AF14"/>
    <mergeCell ref="C34:F34"/>
    <mergeCell ref="G34:J34"/>
    <mergeCell ref="K34:N34"/>
    <mergeCell ref="O34:R34"/>
    <mergeCell ref="I18:M18"/>
    <mergeCell ref="N18:R18"/>
    <mergeCell ref="C23:G23"/>
    <mergeCell ref="C25:G25"/>
    <mergeCell ref="C29:G29"/>
    <mergeCell ref="C31:G31"/>
    <mergeCell ref="I31:R31"/>
    <mergeCell ref="C19:G19"/>
    <mergeCell ref="I19:M19"/>
    <mergeCell ref="AI24:AJ24"/>
    <mergeCell ref="AM24:AM28"/>
    <mergeCell ref="W24:X24"/>
    <mergeCell ref="N19:R19"/>
    <mergeCell ref="Y19:Y26"/>
    <mergeCell ref="AH19:AH26"/>
    <mergeCell ref="AM19:AM23"/>
    <mergeCell ref="I21:R21"/>
    <mergeCell ref="I20:M20"/>
    <mergeCell ref="N20:R20"/>
    <mergeCell ref="I23:R23"/>
    <mergeCell ref="I24:R24"/>
    <mergeCell ref="I25:R25"/>
    <mergeCell ref="AH28:AH30"/>
    <mergeCell ref="I29:R29"/>
    <mergeCell ref="X29:AB29"/>
    <mergeCell ref="X30:Y30"/>
    <mergeCell ref="AA30:AF30"/>
    <mergeCell ref="AG24:AG30"/>
    <mergeCell ref="C28:F28"/>
    <mergeCell ref="O28:R28"/>
    <mergeCell ref="G28:J28"/>
    <mergeCell ref="K28:N28"/>
    <mergeCell ref="C27:G27"/>
    <mergeCell ref="I27:R27"/>
    <mergeCell ref="AE31:AE32"/>
    <mergeCell ref="C33:G33"/>
    <mergeCell ref="I33:R33"/>
    <mergeCell ref="C32:F32"/>
    <mergeCell ref="G32:J32"/>
    <mergeCell ref="K32:N32"/>
    <mergeCell ref="O32:R32"/>
    <mergeCell ref="AD35:AF35"/>
    <mergeCell ref="C37:G37"/>
    <mergeCell ref="I37:R37"/>
    <mergeCell ref="V37:X37"/>
    <mergeCell ref="W38:AK41"/>
    <mergeCell ref="C39:G39"/>
    <mergeCell ref="I39:R39"/>
    <mergeCell ref="C41:G41"/>
    <mergeCell ref="I41:R41"/>
    <mergeCell ref="C35:G35"/>
    <mergeCell ref="I35:K35"/>
    <mergeCell ref="L35:N35"/>
    <mergeCell ref="O35:Q35"/>
    <mergeCell ref="AA35:AC35"/>
    <mergeCell ref="C47:K47"/>
    <mergeCell ref="M47:R47"/>
    <mergeCell ref="C48:R48"/>
    <mergeCell ref="AF48:AK49"/>
    <mergeCell ref="I36:R36"/>
    <mergeCell ref="W44:AK46"/>
    <mergeCell ref="C43:G43"/>
    <mergeCell ref="I43:R43"/>
    <mergeCell ref="V43:X43"/>
    <mergeCell ref="C45:G45"/>
    <mergeCell ref="I45:R45"/>
    <mergeCell ref="I46:J46"/>
    <mergeCell ref="K46:R46"/>
  </mergeCells>
  <conditionalFormatting sqref="C17:R17">
    <cfRule type="expression" dxfId="313" priority="32">
      <formula>$C$17=0</formula>
    </cfRule>
  </conditionalFormatting>
  <conditionalFormatting sqref="C19:R19">
    <cfRule type="expression" dxfId="312" priority="33">
      <formula>$S$18=0</formula>
    </cfRule>
  </conditionalFormatting>
  <conditionalFormatting sqref="C25:R25">
    <cfRule type="expression" dxfId="311" priority="30">
      <formula>$C$25=0</formula>
    </cfRule>
  </conditionalFormatting>
  <conditionalFormatting sqref="C28:R28">
    <cfRule type="expression" dxfId="310" priority="9">
      <formula>$S$27=0</formula>
    </cfRule>
  </conditionalFormatting>
  <conditionalFormatting sqref="C29:R29">
    <cfRule type="expression" dxfId="309" priority="31">
      <formula>$C$29=0</formula>
    </cfRule>
  </conditionalFormatting>
  <conditionalFormatting sqref="C31:R31">
    <cfRule type="expression" dxfId="308" priority="5">
      <formula>$C$31=0</formula>
    </cfRule>
  </conditionalFormatting>
  <conditionalFormatting sqref="C32:R32">
    <cfRule type="expression" dxfId="307" priority="8">
      <formula>$S$27=0</formula>
    </cfRule>
  </conditionalFormatting>
  <conditionalFormatting sqref="C33:R33">
    <cfRule type="expression" dxfId="306" priority="24">
      <formula>$C$33=0</formula>
    </cfRule>
  </conditionalFormatting>
  <conditionalFormatting sqref="C34:R34">
    <cfRule type="expression" dxfId="305" priority="2">
      <formula>$C$33=0</formula>
    </cfRule>
    <cfRule type="expression" dxfId="304" priority="1">
      <formula>$C$34=0</formula>
    </cfRule>
  </conditionalFormatting>
  <conditionalFormatting sqref="I36">
    <cfRule type="expression" dxfId="303" priority="10">
      <formula>$I$39&gt;0</formula>
    </cfRule>
  </conditionalFormatting>
  <conditionalFormatting sqref="I18:M18">
    <cfRule type="expression" dxfId="302" priority="38">
      <formula>$S$18=1</formula>
    </cfRule>
  </conditionalFormatting>
  <conditionalFormatting sqref="I19:M19">
    <cfRule type="expression" dxfId="301" priority="34">
      <formula>$S$18=2</formula>
    </cfRule>
  </conditionalFormatting>
  <conditionalFormatting sqref="I18:R18">
    <cfRule type="expression" dxfId="300" priority="36">
      <formula>$S$18=3</formula>
    </cfRule>
  </conditionalFormatting>
  <conditionalFormatting sqref="N18:R18">
    <cfRule type="expression" dxfId="299" priority="37">
      <formula>$S$18=2</formula>
    </cfRule>
  </conditionalFormatting>
  <conditionalFormatting sqref="N19:R19">
    <cfRule type="expression" dxfId="298" priority="35">
      <formula>$S$18=1</formula>
    </cfRule>
  </conditionalFormatting>
  <conditionalFormatting sqref="R8:T8">
    <cfRule type="cellIs" dxfId="297" priority="22" operator="equal">
      <formula>$P$4</formula>
    </cfRule>
  </conditionalFormatting>
  <conditionalFormatting sqref="V37">
    <cfRule type="cellIs" dxfId="296" priority="11" operator="equal">
      <formula>0</formula>
    </cfRule>
  </conditionalFormatting>
  <conditionalFormatting sqref="V8:X8 Z8:AB8 AD8:AF8 AH8:AJ8 AL8:AN8">
    <cfRule type="cellIs" dxfId="295" priority="23" operator="equal">
      <formula>$P$4</formula>
    </cfRule>
  </conditionalFormatting>
  <conditionalFormatting sqref="W38 V42:AK42 V43 Y43:AK43 V44:W44 V45">
    <cfRule type="cellIs" dxfId="294" priority="17" operator="equal">
      <formula>0</formula>
    </cfRule>
  </conditionalFormatting>
  <conditionalFormatting sqref="W24:X24">
    <cfRule type="expression" dxfId="293" priority="21">
      <formula>$S$33=1</formula>
    </cfRule>
  </conditionalFormatting>
  <conditionalFormatting sqref="X14:Y14">
    <cfRule type="expression" dxfId="292" priority="58">
      <formula>$S$33=3</formula>
    </cfRule>
  </conditionalFormatting>
  <conditionalFormatting sqref="X30:Y30">
    <cfRule type="expression" dxfId="291" priority="56">
      <formula>$S$33=4</formula>
    </cfRule>
  </conditionalFormatting>
  <conditionalFormatting sqref="X13:AB13">
    <cfRule type="expression" dxfId="290" priority="48">
      <formula>$S$33=3</formula>
    </cfRule>
  </conditionalFormatting>
  <conditionalFormatting sqref="X29:AB29">
    <cfRule type="expression" dxfId="289" priority="51">
      <formula>$S$33=4</formula>
    </cfRule>
  </conditionalFormatting>
  <conditionalFormatting sqref="Y15:Y17">
    <cfRule type="expression" dxfId="288" priority="62">
      <formula>$S$33=1</formula>
    </cfRule>
  </conditionalFormatting>
  <conditionalFormatting sqref="Y19:Y26">
    <cfRule type="expression" dxfId="287" priority="63">
      <formula>$S$33=1</formula>
    </cfRule>
  </conditionalFormatting>
  <conditionalFormatting sqref="Z15:Z21">
    <cfRule type="expression" dxfId="286" priority="50">
      <formula>$S$33=1</formula>
    </cfRule>
  </conditionalFormatting>
  <conditionalFormatting sqref="AA14:AF14">
    <cfRule type="expression" dxfId="285" priority="59">
      <formula>$S$33=3</formula>
    </cfRule>
  </conditionalFormatting>
  <conditionalFormatting sqref="AA30:AF30">
    <cfRule type="expression" dxfId="284" priority="57">
      <formula>$S$33=4</formula>
    </cfRule>
  </conditionalFormatting>
  <conditionalFormatting sqref="AE12:AE13">
    <cfRule type="expression" dxfId="283" priority="19">
      <formula>$S$33=3</formula>
    </cfRule>
  </conditionalFormatting>
  <conditionalFormatting sqref="AE31:AE32">
    <cfRule type="expression" dxfId="282" priority="18">
      <formula>$S$33=4</formula>
    </cfRule>
  </conditionalFormatting>
  <conditionalFormatting sqref="AG24:AG30">
    <cfRule type="expression" dxfId="281" priority="49">
      <formula>$S$33=2</formula>
    </cfRule>
  </conditionalFormatting>
  <conditionalFormatting sqref="AH19:AH26">
    <cfRule type="expression" dxfId="280" priority="61">
      <formula>$S$33=2</formula>
    </cfRule>
  </conditionalFormatting>
  <conditionalFormatting sqref="AH28:AH30">
    <cfRule type="expression" dxfId="279" priority="60">
      <formula>$S$33=2</formula>
    </cfRule>
  </conditionalFormatting>
  <conditionalFormatting sqref="AI24:AJ24">
    <cfRule type="expression" dxfId="278" priority="20">
      <formula>$S$33=2</formula>
    </cfRule>
  </conditionalFormatting>
  <dataValidations count="7">
    <dataValidation type="whole" allowBlank="1" showInputMessage="1" showErrorMessage="1" sqref="I19:M19" xr:uid="{9944320F-AFEB-4998-9BE3-66F4A7FCC61D}">
      <formula1>1</formula1>
      <formula2>(AM19/100)-1</formula2>
    </dataValidation>
    <dataValidation type="whole" allowBlank="1" showInputMessage="1" showErrorMessage="1" sqref="N19:R19" xr:uid="{0F052523-B133-467A-B6CD-9187E47C379D}">
      <formula1>1</formula1>
      <formula2>(AD35/100)-1</formula2>
    </dataValidation>
    <dataValidation type="list" allowBlank="1" showInputMessage="1" showErrorMessage="1" sqref="I29:R29" xr:uid="{A3E3F29D-80B5-459F-9F08-6A2E99068267}">
      <formula1>INDIRECT(CONCATENATE("_",T15,"_",I27))</formula1>
    </dataValidation>
    <dataValidation type="list" allowBlank="1" showInputMessage="1" showErrorMessage="1" sqref="I43:R43" xr:uid="{AFB36ADD-DB32-4D5E-8C88-A801C03A4D43}">
      <formula1>_umisteni_zavesu</formula1>
    </dataValidation>
    <dataValidation type="whole" allowBlank="1" showErrorMessage="1" errorTitle="MAX 2500" error="MAXIMUM 1300 mm x 2500 mm" sqref="AM19:AM23" xr:uid="{F520AD4F-DE00-4F9F-B8A8-BF9E90E595A5}">
      <formula1>100</formula1>
      <formula2>2150</formula2>
    </dataValidation>
    <dataValidation type="whole" allowBlank="1" showErrorMessage="1" errorTitle="MAX 1300 mm" error="MAXIMUM 1300 mm x 2500 mm" sqref="AD35:AF35" xr:uid="{5B97EB85-03AB-4C6F-A9EC-10FEFB2E19FA}">
      <formula1>100</formula1>
      <formula2>1300</formula2>
    </dataValidation>
    <dataValidation type="whole" allowBlank="1" showInputMessage="1" showErrorMessage="1" errorTitle="Minimum 80 mm" sqref="G34:J34 O34:R34" xr:uid="{622C18A7-DE60-491D-BAC9-EF3ED456B10C}">
      <formula1>80</formula1>
      <formula2>1300</formula2>
    </dataValidation>
  </dataValidations>
  <hyperlinks>
    <hyperlink ref="AK2:AN3" location="Hlavní!A1" display="Hlavní!A1" xr:uid="{CE04EFC9-8053-40B6-9E9C-F463DF92139B}"/>
    <hyperlink ref="V8:X8" location="Ram_2!A1" display="Ram_2!A1" xr:uid="{11088192-3F6B-4843-B0B3-0A62CD039EA4}"/>
    <hyperlink ref="Z8:AB8" location="Ram_3!A1" display="Ram_3!A1" xr:uid="{1A110D56-1C0F-411A-BE51-D87DD9E0B7D9}"/>
    <hyperlink ref="AD8:AF8" location="Ram_4!A1" display="Ram_4!A1" xr:uid="{2484CB16-BE19-42A8-9081-AA960474DD32}"/>
    <hyperlink ref="AH8:AJ8" location="Ram_5!A1" display="Ram_5!A1" xr:uid="{FA75839B-7337-4318-98B3-5707544A01B1}"/>
    <hyperlink ref="AL8:AN8" location="Ram_6!A1" display="Ram_6!A1" xr:uid="{C458C1B6-49C5-4CCE-9AEC-406B68E0FDDB}"/>
    <hyperlink ref="R8:T8" location="Ram_1!A1" display="Ram_1!A1" xr:uid="{D6054E8A-2996-455A-9168-531CD4E1658B}"/>
    <hyperlink ref="AF48:AK49" location="_souhrn!A1" display="Souhrn" xr:uid="{8C1C1C56-8208-4336-87C3-91040DE07A6C}"/>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44737" r:id="rId3" name="Check Box 1967">
              <controlPr locked="0" defaultSize="0" autoFill="0" autoLine="0" autoPict="0">
                <anchor moveWithCells="1">
                  <from>
                    <xdr:col>26</xdr:col>
                    <xdr:colOff>866775</xdr:colOff>
                    <xdr:row>0</xdr:row>
                    <xdr:rowOff>0</xdr:rowOff>
                  </from>
                  <to>
                    <xdr:col>27</xdr:col>
                    <xdr:colOff>0</xdr:colOff>
                    <xdr:row>0</xdr:row>
                    <xdr:rowOff>209550</xdr:rowOff>
                  </to>
                </anchor>
              </controlPr>
            </control>
          </mc:Choice>
        </mc:AlternateContent>
        <mc:AlternateContent xmlns:mc="http://schemas.openxmlformats.org/markup-compatibility/2006">
          <mc:Choice Requires="x14">
            <control shapeId="244738" r:id="rId4" name="Option Button 2">
              <controlPr defaultSize="0" autoFill="0" autoLine="0" autoPict="0">
                <anchor moveWithCells="1">
                  <from>
                    <xdr:col>8</xdr:col>
                    <xdr:colOff>133350</xdr:colOff>
                    <xdr:row>33</xdr:row>
                    <xdr:rowOff>200025</xdr:rowOff>
                  </from>
                  <to>
                    <xdr:col>9</xdr:col>
                    <xdr:colOff>466725</xdr:colOff>
                    <xdr:row>35</xdr:row>
                    <xdr:rowOff>66675</xdr:rowOff>
                  </to>
                </anchor>
              </controlPr>
            </control>
          </mc:Choice>
        </mc:AlternateContent>
        <mc:AlternateContent xmlns:mc="http://schemas.openxmlformats.org/markup-compatibility/2006">
          <mc:Choice Requires="x14">
            <control shapeId="244739" r:id="rId5" name="Option Button 3">
              <controlPr defaultSize="0" autoFill="0" autoLine="0" autoPict="0">
                <anchor moveWithCells="1">
                  <from>
                    <xdr:col>11</xdr:col>
                    <xdr:colOff>133350</xdr:colOff>
                    <xdr:row>33</xdr:row>
                    <xdr:rowOff>200025</xdr:rowOff>
                  </from>
                  <to>
                    <xdr:col>12</xdr:col>
                    <xdr:colOff>466725</xdr:colOff>
                    <xdr:row>35</xdr:row>
                    <xdr:rowOff>66675</xdr:rowOff>
                  </to>
                </anchor>
              </controlPr>
            </control>
          </mc:Choice>
        </mc:AlternateContent>
        <mc:AlternateContent xmlns:mc="http://schemas.openxmlformats.org/markup-compatibility/2006">
          <mc:Choice Requires="x14">
            <control shapeId="244740" r:id="rId6" name="Option Button 4">
              <controlPr defaultSize="0" autoFill="0" autoLine="0" autoPict="0">
                <anchor moveWithCells="1">
                  <from>
                    <xdr:col>14</xdr:col>
                    <xdr:colOff>114300</xdr:colOff>
                    <xdr:row>33</xdr:row>
                    <xdr:rowOff>200025</xdr:rowOff>
                  </from>
                  <to>
                    <xdr:col>16</xdr:col>
                    <xdr:colOff>95250</xdr:colOff>
                    <xdr:row>35</xdr:row>
                    <xdr:rowOff>66675</xdr:rowOff>
                  </to>
                </anchor>
              </controlPr>
            </control>
          </mc:Choice>
        </mc:AlternateContent>
        <mc:AlternateContent xmlns:mc="http://schemas.openxmlformats.org/markup-compatibility/2006">
          <mc:Choice Requires="x14">
            <control shapeId="244741" r:id="rId7" name="Check Box 5">
              <controlPr defaultSize="0" autoFill="0" autoLine="0" autoPict="0">
                <anchor moveWithCells="1">
                  <from>
                    <xdr:col>8</xdr:col>
                    <xdr:colOff>219075</xdr:colOff>
                    <xdr:row>11</xdr:row>
                    <xdr:rowOff>247650</xdr:rowOff>
                  </from>
                  <to>
                    <xdr:col>9</xdr:col>
                    <xdr:colOff>552450</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623C-B0E5-436E-A38E-65811B958B9B}">
  <sheetPr codeName="List29"/>
  <dimension ref="A1:DQ61"/>
  <sheetViews>
    <sheetView workbookViewId="0"/>
  </sheetViews>
  <sheetFormatPr defaultColWidth="8.5703125" defaultRowHeight="15"/>
  <cols>
    <col min="1" max="1" width="29.140625" bestFit="1" customWidth="1"/>
    <col min="2" max="2" width="24" customWidth="1"/>
    <col min="3" max="3" width="17" bestFit="1" customWidth="1"/>
    <col min="4" max="4" width="17" customWidth="1"/>
    <col min="5" max="5" width="3" style="49"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style="49" customWidth="1"/>
    <col min="13" max="13" width="21" bestFit="1" customWidth="1"/>
    <col min="14" max="14" width="15" bestFit="1" customWidth="1"/>
    <col min="15" max="15" width="3" style="49" customWidth="1"/>
    <col min="16" max="16" width="23.140625" customWidth="1"/>
    <col min="17" max="18" width="19.42578125" bestFit="1" customWidth="1"/>
    <col min="19" max="19" width="19.42578125" customWidth="1"/>
    <col min="20" max="21" width="15.140625" customWidth="1"/>
    <col min="22" max="22" width="19.42578125" bestFit="1" customWidth="1"/>
    <col min="23" max="23" width="3" style="49" customWidth="1"/>
    <col min="24" max="24" width="12.140625" bestFit="1" customWidth="1"/>
    <col min="25" max="25" width="4.140625" bestFit="1" customWidth="1"/>
    <col min="26" max="26" width="3" style="49" customWidth="1"/>
    <col min="27" max="27" width="18.42578125" bestFit="1" customWidth="1"/>
    <col min="28" max="28" width="17.42578125" bestFit="1" customWidth="1"/>
    <col min="29" max="29" width="14.42578125" bestFit="1" customWidth="1"/>
    <col min="30" max="30" width="16.42578125" customWidth="1"/>
    <col min="31" max="31" width="3" style="49" customWidth="1"/>
    <col min="32" max="32" width="17.42578125" customWidth="1"/>
    <col min="33" max="48" width="16.42578125" customWidth="1"/>
    <col min="49" max="49" width="3" style="49" customWidth="1"/>
    <col min="50" max="53" width="19.5703125" customWidth="1"/>
    <col min="54" max="54" width="3" style="49" customWidth="1"/>
    <col min="55" max="61" width="9.42578125" customWidth="1"/>
    <col min="62" max="62" width="3" style="49" customWidth="1"/>
    <col min="63" max="63" width="17.42578125" bestFit="1" customWidth="1"/>
    <col min="64" max="64" width="3" style="49" customWidth="1"/>
    <col min="65" max="65" width="12.5703125" customWidth="1"/>
    <col min="69" max="69" width="6.5703125" bestFit="1" customWidth="1"/>
    <col min="70" max="70" width="18.42578125" bestFit="1" customWidth="1"/>
    <col min="73" max="73" width="13.5703125" customWidth="1"/>
    <col min="74" max="74" width="32.5703125" customWidth="1"/>
    <col min="75" max="75" width="17.5703125" customWidth="1"/>
    <col min="77" max="77" width="21.42578125" bestFit="1" customWidth="1"/>
    <col min="82" max="82" width="16.42578125" customWidth="1"/>
    <col min="85" max="85" width="28.5703125" bestFit="1" customWidth="1"/>
    <col min="86" max="86" width="23.42578125" bestFit="1" customWidth="1"/>
    <col min="87" max="87" width="20.5703125" bestFit="1" customWidth="1"/>
    <col min="88" max="88" width="22.140625" bestFit="1" customWidth="1"/>
    <col min="89" max="89" width="23.42578125" bestFit="1" customWidth="1"/>
    <col min="90" max="90" width="20.140625" bestFit="1" customWidth="1"/>
    <col min="91" max="91" width="23.42578125" bestFit="1" customWidth="1"/>
    <col min="92" max="92" width="20.140625" bestFit="1" customWidth="1"/>
    <col min="93" max="93" width="23.42578125" bestFit="1" customWidth="1"/>
    <col min="94" max="94" width="20.140625" bestFit="1" customWidth="1"/>
    <col min="95" max="95" width="21.42578125" bestFit="1" customWidth="1"/>
    <col min="96" max="96" width="19.140625" bestFit="1" customWidth="1"/>
    <col min="97" max="97" width="21.42578125" bestFit="1" customWidth="1"/>
    <col min="98" max="98" width="19.140625" bestFit="1" customWidth="1"/>
    <col min="99" max="99" width="23.42578125" bestFit="1" customWidth="1"/>
    <col min="100" max="100" width="20.140625" bestFit="1" customWidth="1"/>
    <col min="101" max="102" width="19.140625" bestFit="1" customWidth="1"/>
    <col min="103" max="103" width="23.42578125" bestFit="1" customWidth="1"/>
    <col min="104" max="104" width="20.140625" bestFit="1" customWidth="1"/>
    <col min="105" max="110" width="19.140625" bestFit="1" customWidth="1"/>
    <col min="111" max="111" width="23.42578125" bestFit="1" customWidth="1"/>
    <col min="112" max="112" width="20.140625" bestFit="1" customWidth="1"/>
    <col min="113" max="113" width="23.42578125" bestFit="1" customWidth="1"/>
    <col min="114" max="114" width="20.140625" bestFit="1" customWidth="1"/>
    <col min="115" max="116" width="19.140625" bestFit="1" customWidth="1"/>
  </cols>
  <sheetData>
    <row r="1" spans="1:121">
      <c r="A1" s="26" t="s">
        <v>24</v>
      </c>
      <c r="B1" s="48"/>
      <c r="C1" s="48"/>
      <c r="D1" s="48"/>
      <c r="F1" s="26" t="s">
        <v>1017</v>
      </c>
      <c r="G1" s="48"/>
      <c r="H1" s="48" t="b">
        <v>0</v>
      </c>
      <c r="I1" s="48"/>
      <c r="J1" s="48"/>
      <c r="K1" s="48"/>
      <c r="M1" s="26" t="s">
        <v>1018</v>
      </c>
      <c r="N1" s="48"/>
      <c r="P1" s="48" t="e">
        <f t="array" ref="P1">IF($S$1=Varianta_N1,_N1,IF($S$1=Varianta_A1,_A1,IF($S$1=Varianta_N2,_N2,IF($S$1=Varianta_A2,_A2,IF($S$1=Varianta_N3,_N3,IF($S$1=Varianta_A3,_A3,0))))))</f>
        <v>#NAME?</v>
      </c>
      <c r="Q1" s="55" t="s">
        <v>1083</v>
      </c>
      <c r="R1" s="56" t="str">
        <f>VLOOKUP(Posuv!E35,$A:$C,3,0)</f>
        <v>N</v>
      </c>
      <c r="S1" s="48" t="str">
        <f>CONCATENATE("_",R1,V1)</f>
        <v>_N1</v>
      </c>
      <c r="T1" s="48"/>
      <c r="U1" s="55" t="s">
        <v>1082</v>
      </c>
      <c r="V1" s="56">
        <v>1</v>
      </c>
      <c r="X1" s="26" t="s">
        <v>1019</v>
      </c>
      <c r="Y1" s="48"/>
      <c r="AA1" s="48" t="s">
        <v>610</v>
      </c>
      <c r="AB1" s="48"/>
      <c r="AC1" s="48"/>
      <c r="AD1" s="48"/>
      <c r="AF1" s="48" t="s">
        <v>1020</v>
      </c>
      <c r="AG1" s="48"/>
      <c r="AH1" s="48"/>
      <c r="AI1" s="48"/>
      <c r="AJ1" s="48"/>
      <c r="AK1" s="48"/>
      <c r="AL1" s="48"/>
      <c r="AM1" s="48"/>
      <c r="AN1" s="48"/>
      <c r="AO1" s="48"/>
      <c r="AP1" s="48"/>
      <c r="AQ1" s="48"/>
      <c r="AR1" s="48"/>
      <c r="AS1" s="48"/>
      <c r="AT1" s="48"/>
      <c r="AU1" s="48"/>
      <c r="AV1" s="48"/>
      <c r="AX1" s="48" t="s">
        <v>401</v>
      </c>
      <c r="AY1" s="48"/>
      <c r="AZ1" s="48"/>
      <c r="BA1" s="48"/>
      <c r="BC1" s="48" t="s">
        <v>8</v>
      </c>
      <c r="BD1" s="48"/>
      <c r="BE1" s="48"/>
      <c r="BF1" s="48"/>
      <c r="BG1" s="48"/>
      <c r="BH1" s="48"/>
      <c r="BI1" s="48"/>
      <c r="BK1" s="48" t="s">
        <v>576</v>
      </c>
      <c r="BM1" t="s">
        <v>1072</v>
      </c>
      <c r="BQ1" s="57" t="s">
        <v>834</v>
      </c>
    </row>
    <row r="2" spans="1:121">
      <c r="A2" s="50" t="s">
        <v>1021</v>
      </c>
      <c r="B2" s="50" t="s">
        <v>1076</v>
      </c>
      <c r="C2" s="50" t="s">
        <v>1077</v>
      </c>
      <c r="D2" s="50" t="s">
        <v>1018</v>
      </c>
      <c r="F2" s="50" t="s">
        <v>1023</v>
      </c>
      <c r="G2" s="50" t="s">
        <v>1024</v>
      </c>
      <c r="H2" s="50" t="s">
        <v>1025</v>
      </c>
      <c r="I2" s="50" t="s">
        <v>1026</v>
      </c>
      <c r="J2" s="50"/>
      <c r="K2" s="50"/>
      <c r="M2" s="50" t="s">
        <v>1027</v>
      </c>
      <c r="P2" s="50" t="s">
        <v>1078</v>
      </c>
      <c r="Q2" s="50" t="s">
        <v>1075</v>
      </c>
      <c r="R2" s="50" t="s">
        <v>1079</v>
      </c>
      <c r="S2" s="50" t="s">
        <v>1074</v>
      </c>
      <c r="T2" s="50" t="s">
        <v>1080</v>
      </c>
      <c r="U2" s="50" t="s">
        <v>1019</v>
      </c>
      <c r="V2" s="50" t="s">
        <v>1081</v>
      </c>
      <c r="X2" s="50" t="s">
        <v>1028</v>
      </c>
      <c r="Y2" s="50" t="s">
        <v>1029</v>
      </c>
      <c r="AA2" s="50" t="s">
        <v>834</v>
      </c>
      <c r="AB2" s="50" t="s">
        <v>1030</v>
      </c>
      <c r="AC2" s="50" t="s">
        <v>1031</v>
      </c>
      <c r="AD2" s="50" t="s">
        <v>576</v>
      </c>
      <c r="AF2" s="51" t="s">
        <v>1032</v>
      </c>
      <c r="AG2" s="51" t="s">
        <v>575</v>
      </c>
      <c r="AH2">
        <v>1</v>
      </c>
      <c r="AI2">
        <v>2</v>
      </c>
      <c r="AJ2">
        <v>3</v>
      </c>
      <c r="AK2">
        <v>4</v>
      </c>
      <c r="AL2">
        <v>5</v>
      </c>
      <c r="AM2">
        <v>6</v>
      </c>
      <c r="AN2">
        <v>7</v>
      </c>
      <c r="AO2">
        <v>8</v>
      </c>
      <c r="AP2">
        <v>9</v>
      </c>
      <c r="AQ2">
        <v>10</v>
      </c>
      <c r="AR2">
        <v>11</v>
      </c>
      <c r="AS2">
        <v>12</v>
      </c>
      <c r="AT2">
        <v>13</v>
      </c>
      <c r="AU2">
        <v>14</v>
      </c>
      <c r="AV2">
        <v>15</v>
      </c>
      <c r="AX2" s="50" t="s">
        <v>1022</v>
      </c>
      <c r="AY2" s="50" t="s">
        <v>834</v>
      </c>
      <c r="AZ2" s="50" t="s">
        <v>1033</v>
      </c>
      <c r="BA2" s="50" t="s">
        <v>1034</v>
      </c>
      <c r="BC2" s="52">
        <v>1</v>
      </c>
      <c r="BD2" s="52">
        <v>2</v>
      </c>
      <c r="BE2" s="52">
        <v>3</v>
      </c>
      <c r="BF2" s="52">
        <v>4</v>
      </c>
      <c r="BG2" s="52">
        <v>5</v>
      </c>
      <c r="BH2" s="52">
        <v>6</v>
      </c>
      <c r="BI2" s="52">
        <v>7</v>
      </c>
      <c r="BK2" s="52" t="s">
        <v>1035</v>
      </c>
      <c r="BM2" s="50" t="s">
        <v>1073</v>
      </c>
      <c r="BN2" s="50" t="s">
        <v>1074</v>
      </c>
      <c r="BO2" s="50" t="s">
        <v>1019</v>
      </c>
      <c r="BQ2" t="str">
        <f>'Translate&amp;Prices&amp;Logo'!B551</f>
        <v>Zawiasy</v>
      </c>
      <c r="BR2" t="str">
        <f>'Translate&amp;Prices&amp;Logo'!B552</f>
        <v>Podnośniki</v>
      </c>
      <c r="BU2" t="str">
        <f>CONCATENATE("_",Ram_1!H12,"_",Ram_1!H13)</f>
        <v>__</v>
      </c>
      <c r="BV2" t="s">
        <v>1100</v>
      </c>
      <c r="BW2" t="s">
        <v>1095</v>
      </c>
      <c r="BY2" t="s">
        <v>112</v>
      </c>
      <c r="CA2" t="s">
        <v>1127</v>
      </c>
      <c r="CD2" t="s">
        <v>1202</v>
      </c>
      <c r="CG2" s="50" t="s">
        <v>458</v>
      </c>
      <c r="CH2" s="50" t="s">
        <v>1201</v>
      </c>
      <c r="CI2" s="53" t="s">
        <v>458</v>
      </c>
      <c r="CJ2" s="53" t="s">
        <v>1201</v>
      </c>
      <c r="CK2" s="50" t="s">
        <v>458</v>
      </c>
      <c r="CL2" s="50" t="s">
        <v>1201</v>
      </c>
      <c r="CM2" s="53" t="s">
        <v>458</v>
      </c>
      <c r="CN2" s="53" t="s">
        <v>1201</v>
      </c>
      <c r="CO2" s="50" t="s">
        <v>458</v>
      </c>
      <c r="CP2" s="50" t="s">
        <v>1201</v>
      </c>
      <c r="CQ2" s="53" t="s">
        <v>458</v>
      </c>
      <c r="CR2" s="53" t="s">
        <v>1201</v>
      </c>
      <c r="CS2" s="50" t="s">
        <v>458</v>
      </c>
      <c r="CT2" s="50" t="s">
        <v>1201</v>
      </c>
      <c r="CU2" s="53" t="s">
        <v>458</v>
      </c>
      <c r="CV2" s="53" t="s">
        <v>1201</v>
      </c>
      <c r="CW2" s="50" t="s">
        <v>458</v>
      </c>
      <c r="CX2" s="50" t="s">
        <v>1201</v>
      </c>
      <c r="CY2" s="53" t="s">
        <v>458</v>
      </c>
      <c r="CZ2" s="53" t="s">
        <v>1201</v>
      </c>
      <c r="DA2" s="50" t="s">
        <v>458</v>
      </c>
      <c r="DB2" s="50" t="s">
        <v>1201</v>
      </c>
      <c r="DC2" s="53" t="s">
        <v>458</v>
      </c>
      <c r="DD2" s="53" t="s">
        <v>1201</v>
      </c>
      <c r="DE2" s="50" t="s">
        <v>458</v>
      </c>
      <c r="DF2" s="50" t="s">
        <v>1201</v>
      </c>
      <c r="DG2" s="53" t="s">
        <v>458</v>
      </c>
      <c r="DH2" s="53" t="s">
        <v>1201</v>
      </c>
      <c r="DI2" s="50" t="s">
        <v>458</v>
      </c>
      <c r="DJ2" s="50" t="s">
        <v>1201</v>
      </c>
      <c r="DK2" s="53" t="s">
        <v>458</v>
      </c>
      <c r="DL2" s="53" t="s">
        <v>1201</v>
      </c>
      <c r="DN2" t="str">
        <f>'Translate&amp;Prices&amp;Logo'!B553</f>
        <v>Nakładany</v>
      </c>
      <c r="DP2" t="str">
        <f>'Translate&amp;Prices&amp;Logo'!B551</f>
        <v>Zawiasy</v>
      </c>
      <c r="DQ2">
        <v>2</v>
      </c>
    </row>
    <row r="3" spans="1:121">
      <c r="A3" s="86" t="str">
        <f>'Translate&amp;Prices&amp;Logo'!B6</f>
        <v>BRW (elox.) - maksymalna zalecana długość profilu 2500 mm</v>
      </c>
      <c r="B3">
        <v>1</v>
      </c>
      <c r="C3" t="s">
        <v>662</v>
      </c>
      <c r="D3">
        <v>1</v>
      </c>
      <c r="F3" t="s">
        <v>1036</v>
      </c>
      <c r="G3" t="s">
        <v>384</v>
      </c>
      <c r="H3" t="s">
        <v>1037</v>
      </c>
      <c r="I3">
        <v>1</v>
      </c>
      <c r="J3">
        <v>2</v>
      </c>
      <c r="K3" t="s">
        <v>662</v>
      </c>
      <c r="M3" t="s">
        <v>1038</v>
      </c>
      <c r="N3" t="s">
        <v>556</v>
      </c>
      <c r="Q3" s="57" t="s">
        <v>1085</v>
      </c>
      <c r="R3" s="57" t="s">
        <v>1086</v>
      </c>
      <c r="S3" s="57" t="s">
        <v>1087</v>
      </c>
      <c r="T3" s="57" t="s">
        <v>1088</v>
      </c>
      <c r="U3" s="57" t="s">
        <v>1089</v>
      </c>
      <c r="V3" s="57" t="s">
        <v>1090</v>
      </c>
      <c r="X3" t="str">
        <f>'Translate&amp;Prices&amp;Logo'!$B$563</f>
        <v>transparentna</v>
      </c>
      <c r="Y3">
        <v>1</v>
      </c>
      <c r="AA3" t="s">
        <v>1040</v>
      </c>
      <c r="AB3" t="s">
        <v>1095</v>
      </c>
      <c r="AF3" s="50" t="s">
        <v>107</v>
      </c>
      <c r="AG3" s="50" t="s">
        <v>577</v>
      </c>
      <c r="AY3" t="s">
        <v>1070</v>
      </c>
      <c r="BK3" t="s">
        <v>107</v>
      </c>
      <c r="BQ3" t="s">
        <v>1070</v>
      </c>
      <c r="BR3" t="s">
        <v>1040</v>
      </c>
      <c r="BU3" t="e">
        <f>VLOOKUP(BU2,BV:BW,2,0)</f>
        <v>#N/A</v>
      </c>
      <c r="BV3" t="s">
        <v>1103</v>
      </c>
      <c r="BW3" t="s">
        <v>1099</v>
      </c>
      <c r="BY3" t="str">
        <f>'Translate&amp;Prices&amp;Logo'!B230</f>
        <v>W lewo</v>
      </c>
      <c r="BZ3">
        <v>1</v>
      </c>
      <c r="CA3">
        <v>32</v>
      </c>
      <c r="CD3" t="s">
        <v>1209</v>
      </c>
      <c r="CE3">
        <v>1</v>
      </c>
      <c r="CG3" s="50" t="s">
        <v>1209</v>
      </c>
      <c r="CH3" s="50" t="s">
        <v>1209</v>
      </c>
      <c r="CI3" s="53" t="s">
        <v>1210</v>
      </c>
      <c r="CJ3" s="53" t="s">
        <v>1210</v>
      </c>
      <c r="CK3" s="50" t="s">
        <v>1050</v>
      </c>
      <c r="CL3" s="50" t="s">
        <v>1050</v>
      </c>
      <c r="CM3" s="53" t="s">
        <v>1053</v>
      </c>
      <c r="CN3" s="53" t="s">
        <v>1053</v>
      </c>
      <c r="CO3" s="50" t="s">
        <v>1060</v>
      </c>
      <c r="CP3" s="50" t="s">
        <v>1060</v>
      </c>
      <c r="CQ3" s="53" t="s">
        <v>1211</v>
      </c>
      <c r="CR3" s="53" t="s">
        <v>1211</v>
      </c>
      <c r="CS3" s="50" t="s">
        <v>1055</v>
      </c>
      <c r="CT3" s="50" t="s">
        <v>1055</v>
      </c>
      <c r="CU3" s="53" t="s">
        <v>1061</v>
      </c>
      <c r="CV3" s="53" t="s">
        <v>1061</v>
      </c>
      <c r="CW3" s="50" t="s">
        <v>1206</v>
      </c>
      <c r="CX3" s="50" t="s">
        <v>1206</v>
      </c>
      <c r="CY3" s="53" t="s">
        <v>1064</v>
      </c>
      <c r="CZ3" s="53" t="s">
        <v>1064</v>
      </c>
      <c r="DA3" s="50" t="s">
        <v>1205</v>
      </c>
      <c r="DB3" s="50" t="s">
        <v>1205</v>
      </c>
      <c r="DC3" s="53" t="s">
        <v>1066</v>
      </c>
      <c r="DD3" s="53" t="s">
        <v>1066</v>
      </c>
      <c r="DE3" s="50" t="s">
        <v>1067</v>
      </c>
      <c r="DF3" s="50" t="s">
        <v>1067</v>
      </c>
      <c r="DG3" s="53" t="s">
        <v>1207</v>
      </c>
      <c r="DH3" s="53" t="s">
        <v>1207</v>
      </c>
      <c r="DI3" s="50" t="s">
        <v>1208</v>
      </c>
      <c r="DJ3" s="50" t="s">
        <v>1208</v>
      </c>
      <c r="DK3" s="53" t="s">
        <v>1071</v>
      </c>
      <c r="DL3" s="53" t="s">
        <v>1071</v>
      </c>
      <c r="DN3" t="str">
        <f>'Translate&amp;Prices&amp;Logo'!B554</f>
        <v>Półnakładany</v>
      </c>
      <c r="DP3" t="str">
        <f>'Translate&amp;Prices&amp;Logo'!B552</f>
        <v>Podnośniki</v>
      </c>
      <c r="DQ3">
        <v>3</v>
      </c>
    </row>
    <row r="4" spans="1:121">
      <c r="A4" s="86" t="str">
        <f>'Translate&amp;Prices&amp;Logo'!B7</f>
        <v>BRW antracyt RAL 7021 - maksymalna zalecana długość profilu 2500 mm</v>
      </c>
      <c r="B4">
        <v>1</v>
      </c>
      <c r="C4" t="s">
        <v>662</v>
      </c>
      <c r="D4">
        <v>0</v>
      </c>
      <c r="G4" t="s">
        <v>1037</v>
      </c>
      <c r="H4" t="s">
        <v>384</v>
      </c>
      <c r="I4">
        <v>0</v>
      </c>
      <c r="J4">
        <v>2</v>
      </c>
      <c r="K4" t="s">
        <v>662</v>
      </c>
      <c r="M4" t="s">
        <v>1041</v>
      </c>
      <c r="N4" t="s">
        <v>942</v>
      </c>
      <c r="Q4" s="86" t="str">
        <f>'Translate&amp;Prices&amp;Logo'!$B$99</f>
        <v>Czyste</v>
      </c>
      <c r="R4" s="86" t="str">
        <f>'Translate&amp;Prices&amp;Logo'!$B$110</f>
        <v>Stopsol brąz - maksymalne wymiary 2250 x 1605 mm</v>
      </c>
      <c r="S4" s="86" t="str">
        <f>'Translate&amp;Prices&amp;Logo'!$B$99</f>
        <v>Czyste</v>
      </c>
      <c r="T4" s="86" t="str">
        <f>'Translate&amp;Prices&amp;Logo'!$B$110</f>
        <v>Stopsol brąz - maksymalne wymiary 2250 x 1605 mm</v>
      </c>
      <c r="U4" s="86" t="str">
        <f>'Translate&amp;Prices&amp;Logo'!$B$115</f>
        <v xml:space="preserve">Lustro </v>
      </c>
      <c r="V4" s="86" t="str">
        <f>'Translate&amp;Prices&amp;Logo'!$B$115</f>
        <v xml:space="preserve">Lustro </v>
      </c>
      <c r="X4" t="str">
        <f>'Translate&amp;Prices&amp;Logo'!$B$564</f>
        <v>Biała</v>
      </c>
      <c r="Y4">
        <v>2</v>
      </c>
      <c r="AA4" t="s">
        <v>1040</v>
      </c>
      <c r="AB4" t="s">
        <v>1209</v>
      </c>
      <c r="AC4">
        <v>1</v>
      </c>
      <c r="AD4">
        <v>1</v>
      </c>
      <c r="AF4" s="50" t="s">
        <v>108</v>
      </c>
      <c r="AG4" s="50" t="s">
        <v>577</v>
      </c>
      <c r="AY4" t="s">
        <v>1070</v>
      </c>
      <c r="AZ4" t="s">
        <v>1105</v>
      </c>
      <c r="BK4" t="s">
        <v>108</v>
      </c>
      <c r="BQ4" t="s">
        <v>1040</v>
      </c>
      <c r="BR4" t="s">
        <v>1052</v>
      </c>
      <c r="BV4" t="s">
        <v>1104</v>
      </c>
      <c r="BW4" t="s">
        <v>1098</v>
      </c>
      <c r="BY4" t="str">
        <f>'Translate&amp;Prices&amp;Logo'!B229</f>
        <v>W prawo</v>
      </c>
      <c r="BZ4">
        <v>2</v>
      </c>
      <c r="CA4">
        <v>64</v>
      </c>
      <c r="CD4" t="s">
        <v>1210</v>
      </c>
      <c r="CE4">
        <v>1</v>
      </c>
      <c r="CG4" t="str">
        <f>CONCATENATE("_",CG2,"_",CG3)</f>
        <v>_Úzký_Aventos_HF</v>
      </c>
      <c r="CH4" t="str">
        <f t="shared" ref="CH4:DL4" si="0">CONCATENATE("_",CH2,"_",CH3)</f>
        <v>_široký_Aventos_HF</v>
      </c>
      <c r="CI4" t="str">
        <f t="shared" si="0"/>
        <v>_Úzký_Aventos_HK-XS</v>
      </c>
      <c r="CJ4" t="str">
        <f t="shared" si="0"/>
        <v>_široký_Aventos_HK-XS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_Úzký_Automatická_vzpěra</v>
      </c>
      <c r="DH4" t="str">
        <f t="shared" si="0"/>
        <v>_široký_Automatická_vzpěra</v>
      </c>
      <c r="DI4" t="str">
        <f t="shared" si="0"/>
        <v>_Úzký_Polohovací_vzpěra</v>
      </c>
      <c r="DJ4" t="str">
        <f t="shared" si="0"/>
        <v>_široký_Polohovací_vzpěra</v>
      </c>
      <c r="DK4" t="str">
        <f t="shared" si="0"/>
        <v>_Úzký_LiftMini</v>
      </c>
      <c r="DL4" t="str">
        <f t="shared" si="0"/>
        <v>_široký_LiftMini</v>
      </c>
      <c r="DN4" t="str">
        <f>'Translate&amp;Prices&amp;Logo'!B555</f>
        <v>Wpuszczany</v>
      </c>
    </row>
    <row r="5" spans="1:121">
      <c r="A5" s="86" t="str">
        <f>'Translate&amp;Prices&amp;Logo'!B8</f>
        <v>BRW bialy matowy RAL 9003 - maksymalna zalecana długość profilu 2500 mm</v>
      </c>
      <c r="B5">
        <v>1</v>
      </c>
      <c r="C5" t="s">
        <v>662</v>
      </c>
      <c r="D5">
        <v>0</v>
      </c>
      <c r="F5" t="s">
        <v>1043</v>
      </c>
      <c r="G5" t="s">
        <v>383</v>
      </c>
      <c r="H5" t="s">
        <v>1037</v>
      </c>
      <c r="I5">
        <v>1</v>
      </c>
      <c r="J5">
        <v>2</v>
      </c>
      <c r="K5" t="s">
        <v>662</v>
      </c>
      <c r="M5" t="s">
        <v>1044</v>
      </c>
      <c r="N5" t="s">
        <v>558</v>
      </c>
      <c r="Q5" s="86" t="str">
        <f>'Translate&amp;Prices&amp;Logo'!$B$104</f>
        <v xml:space="preserve">Satinato </v>
      </c>
      <c r="R5" s="86" t="str">
        <f>'Translate&amp;Prices&amp;Logo'!$B$111</f>
        <v xml:space="preserve">Lakomat </v>
      </c>
      <c r="S5" s="86" t="str">
        <f>'Translate&amp;Prices&amp;Logo'!$B$104</f>
        <v xml:space="preserve">Satinato </v>
      </c>
      <c r="T5" s="86" t="str">
        <f>'Translate&amp;Prices&amp;Logo'!$B$121</f>
        <v xml:space="preserve">Master  Ligne poziomo </v>
      </c>
      <c r="U5" s="86" t="str">
        <f>'Translate&amp;Prices&amp;Logo'!$B$116</f>
        <v xml:space="preserve">Lustro brązowe </v>
      </c>
      <c r="V5" s="86" t="str">
        <f>'Translate&amp;Prices&amp;Logo'!$B$116</f>
        <v xml:space="preserve">Lustro brązowe </v>
      </c>
      <c r="X5" t="str">
        <f>'Translate&amp;Prices&amp;Logo'!$B$565</f>
        <v>czarna</v>
      </c>
      <c r="Y5">
        <v>3</v>
      </c>
      <c r="AA5" t="s">
        <v>1040</v>
      </c>
      <c r="AB5" t="s">
        <v>1212</v>
      </c>
      <c r="AC5">
        <v>0</v>
      </c>
      <c r="AD5">
        <v>0</v>
      </c>
      <c r="AF5" s="53" t="s">
        <v>107</v>
      </c>
      <c r="AG5" s="53" t="s">
        <v>1046</v>
      </c>
      <c r="AY5" t="s">
        <v>1070</v>
      </c>
      <c r="AZ5" t="s">
        <v>1106</v>
      </c>
      <c r="BK5" t="s">
        <v>1047</v>
      </c>
      <c r="BQ5" t="s">
        <v>566</v>
      </c>
      <c r="BR5" t="s">
        <v>1062</v>
      </c>
      <c r="BV5" t="s">
        <v>1101</v>
      </c>
      <c r="BW5" t="s">
        <v>1096</v>
      </c>
      <c r="BY5" t="str">
        <f>'Translate&amp;Prices&amp;Logo'!B227</f>
        <v>W górę</v>
      </c>
      <c r="BZ5">
        <v>3</v>
      </c>
      <c r="CA5">
        <v>76</v>
      </c>
      <c r="CD5" t="s">
        <v>1050</v>
      </c>
      <c r="CE5">
        <v>1</v>
      </c>
      <c r="CG5" t="s">
        <v>1128</v>
      </c>
      <c r="CH5" t="s">
        <v>1136</v>
      </c>
      <c r="CI5" t="s">
        <v>1143</v>
      </c>
      <c r="CJ5" t="s">
        <v>1148</v>
      </c>
      <c r="CK5" t="s">
        <v>1151</v>
      </c>
      <c r="CL5" t="s">
        <v>1161</v>
      </c>
      <c r="CM5" t="s">
        <v>1151</v>
      </c>
      <c r="CN5" t="s">
        <v>1161</v>
      </c>
      <c r="CO5" t="s">
        <v>1151</v>
      </c>
      <c r="CP5" t="s">
        <v>1161</v>
      </c>
      <c r="CQ5" t="s">
        <v>1172</v>
      </c>
      <c r="CR5" t="s">
        <v>1180</v>
      </c>
      <c r="CS5" t="s">
        <v>1172</v>
      </c>
      <c r="CT5" t="s">
        <v>1180</v>
      </c>
      <c r="CU5" t="s">
        <v>1151</v>
      </c>
      <c r="CV5" t="s">
        <v>1161</v>
      </c>
      <c r="CW5" t="s">
        <v>1172</v>
      </c>
      <c r="CX5" t="s">
        <v>1186</v>
      </c>
      <c r="CY5" t="s">
        <v>1151</v>
      </c>
      <c r="CZ5" t="s">
        <v>1161</v>
      </c>
      <c r="DA5" t="s">
        <v>1172</v>
      </c>
      <c r="DB5" t="s">
        <v>1186</v>
      </c>
      <c r="DC5" t="s">
        <v>1172</v>
      </c>
      <c r="DD5" t="s">
        <v>1186</v>
      </c>
      <c r="DE5" t="s">
        <v>1172</v>
      </c>
      <c r="DF5" t="s">
        <v>1186</v>
      </c>
      <c r="DG5" t="s">
        <v>1151</v>
      </c>
      <c r="DH5" t="s">
        <v>1161</v>
      </c>
      <c r="DI5" t="s">
        <v>1151</v>
      </c>
      <c r="DJ5" t="s">
        <v>1161</v>
      </c>
      <c r="DK5" t="s">
        <v>1172</v>
      </c>
      <c r="DL5" t="s">
        <v>1186</v>
      </c>
    </row>
    <row r="6" spans="1:121">
      <c r="A6" s="86" t="str">
        <f>'Translate&amp;Prices&amp;Logo'!B9</f>
        <v>BRW bialy połysk RAL 9003 - maksymalna zalecana długość profilu 2500 mm</v>
      </c>
      <c r="B6">
        <v>1</v>
      </c>
      <c r="C6" t="s">
        <v>662</v>
      </c>
      <c r="D6">
        <v>0</v>
      </c>
      <c r="G6" t="s">
        <v>1037</v>
      </c>
      <c r="H6" t="s">
        <v>383</v>
      </c>
      <c r="I6">
        <v>0</v>
      </c>
      <c r="J6">
        <v>2</v>
      </c>
      <c r="K6" t="s">
        <v>662</v>
      </c>
      <c r="N6" t="s">
        <v>941</v>
      </c>
      <c r="Q6" s="86" t="str">
        <f>'Translate&amp;Prices&amp;Logo'!$B$106</f>
        <v xml:space="preserve">Satinato brązowe/Decormat Braz </v>
      </c>
      <c r="R6" s="86" t="str">
        <f>'Translate&amp;Prices&amp;Logo'!$B$115</f>
        <v xml:space="preserve">Lustro </v>
      </c>
      <c r="S6" s="86" t="str">
        <f>'Translate&amp;Prices&amp;Logo'!$B$106</f>
        <v xml:space="preserve">Satinato brązowe/Decormat Braz </v>
      </c>
      <c r="T6" s="86" t="str">
        <f>'Translate&amp;Prices&amp;Logo'!$B$122</f>
        <v xml:space="preserve">Master  Point </v>
      </c>
      <c r="U6" s="86" t="str">
        <f>'Translate&amp;Prices&amp;Logo'!$B$117</f>
        <v xml:space="preserve">Lustro grafit </v>
      </c>
      <c r="V6" s="86" t="str">
        <f>'Translate&amp;Prices&amp;Logo'!$B$117</f>
        <v xml:space="preserve">Lustro grafit </v>
      </c>
      <c r="AA6" t="s">
        <v>1040</v>
      </c>
      <c r="AB6" t="s">
        <v>1213</v>
      </c>
      <c r="AC6">
        <v>0</v>
      </c>
      <c r="AD6">
        <v>0</v>
      </c>
      <c r="AF6" s="53" t="s">
        <v>108</v>
      </c>
      <c r="AG6" s="53" t="s">
        <v>1046</v>
      </c>
      <c r="AY6" t="s">
        <v>1070</v>
      </c>
      <c r="AZ6" t="s">
        <v>1107</v>
      </c>
      <c r="BK6" t="s">
        <v>1048</v>
      </c>
      <c r="BR6" t="s">
        <v>566</v>
      </c>
      <c r="BV6" t="s">
        <v>1102</v>
      </c>
      <c r="BW6" t="s">
        <v>1097</v>
      </c>
      <c r="BY6" t="str">
        <f>'Translate&amp;Prices&amp;Logo'!B228</f>
        <v>W dół</v>
      </c>
      <c r="BZ6">
        <v>4</v>
      </c>
      <c r="CA6">
        <v>96</v>
      </c>
      <c r="CD6" t="s">
        <v>1053</v>
      </c>
      <c r="CE6">
        <v>1</v>
      </c>
      <c r="CK6" t="s">
        <v>1152</v>
      </c>
      <c r="CL6" t="s">
        <v>1162</v>
      </c>
      <c r="CM6" t="s">
        <v>1152</v>
      </c>
      <c r="CN6" t="s">
        <v>1162</v>
      </c>
      <c r="CO6" t="s">
        <v>1152</v>
      </c>
      <c r="CP6" t="s">
        <v>1162</v>
      </c>
      <c r="CQ6" t="s">
        <v>1173</v>
      </c>
      <c r="CR6" t="s">
        <v>1181</v>
      </c>
      <c r="CS6" t="s">
        <v>1173</v>
      </c>
      <c r="CT6" t="s">
        <v>1181</v>
      </c>
      <c r="CU6" t="s">
        <v>1152</v>
      </c>
      <c r="CV6" t="s">
        <v>1162</v>
      </c>
      <c r="CW6" t="s">
        <v>1174</v>
      </c>
      <c r="CX6" t="s">
        <v>1180</v>
      </c>
      <c r="CY6" t="s">
        <v>1152</v>
      </c>
      <c r="CZ6" t="s">
        <v>1162</v>
      </c>
      <c r="DA6" t="s">
        <v>1174</v>
      </c>
      <c r="DB6" t="s">
        <v>1180</v>
      </c>
      <c r="DC6" t="s">
        <v>1174</v>
      </c>
      <c r="DD6" t="s">
        <v>1180</v>
      </c>
      <c r="DE6" t="s">
        <v>1174</v>
      </c>
      <c r="DF6" t="s">
        <v>1180</v>
      </c>
      <c r="DG6" t="s">
        <v>1152</v>
      </c>
      <c r="DH6" t="s">
        <v>1162</v>
      </c>
      <c r="DI6" t="s">
        <v>1152</v>
      </c>
      <c r="DJ6" t="s">
        <v>1162</v>
      </c>
      <c r="DK6" t="s">
        <v>1174</v>
      </c>
      <c r="DL6" t="s">
        <v>1180</v>
      </c>
    </row>
    <row r="7" spans="1:121">
      <c r="A7" s="86" t="str">
        <f>'Translate&amp;Prices&amp;Logo'!B10</f>
        <v>BRW brąz - maksymalna zalecana długość profilu 2500 mm</v>
      </c>
      <c r="B7">
        <v>1</v>
      </c>
      <c r="C7" t="s">
        <v>662</v>
      </c>
      <c r="D7">
        <v>0</v>
      </c>
      <c r="F7" t="s">
        <v>1049</v>
      </c>
      <c r="G7" t="s">
        <v>385</v>
      </c>
      <c r="H7" t="s">
        <v>1037</v>
      </c>
      <c r="I7">
        <v>1</v>
      </c>
      <c r="J7">
        <v>2</v>
      </c>
      <c r="K7" t="s">
        <v>662</v>
      </c>
      <c r="Q7" s="86" t="str">
        <f>'Translate&amp;Prices&amp;Logo'!$B$107</f>
        <v xml:space="preserve">Satinato grafit  Decormat grafit </v>
      </c>
      <c r="R7" s="86" t="str">
        <f>'Translate&amp;Prices&amp;Logo'!$B$116</f>
        <v xml:space="preserve">Lustro brązowe </v>
      </c>
      <c r="S7" s="86" t="str">
        <f>'Translate&amp;Prices&amp;Logo'!$B$107</f>
        <v xml:space="preserve">Satinato grafit  Decormat grafit </v>
      </c>
      <c r="T7" s="86">
        <f>'Translate&amp;Prices&amp;Logo'!$B$124</f>
        <v>0</v>
      </c>
      <c r="U7" s="86" t="str">
        <f>'Translate&amp;Prices&amp;Logo'!$B$126</f>
        <v xml:space="preserve">Lacobel RAL 1013 </v>
      </c>
      <c r="V7" s="86" t="str">
        <f>'Translate&amp;Prices&amp;Logo'!$B$126</f>
        <v xml:space="preserve">Lacobel RAL 1013 </v>
      </c>
      <c r="AA7" t="s">
        <v>1040</v>
      </c>
      <c r="AB7" t="s">
        <v>1214</v>
      </c>
      <c r="AC7">
        <v>1</v>
      </c>
      <c r="AD7">
        <v>0</v>
      </c>
      <c r="AF7" s="50" t="s">
        <v>107</v>
      </c>
      <c r="AG7" s="50" t="s">
        <v>1050</v>
      </c>
      <c r="AY7" t="s">
        <v>1070</v>
      </c>
      <c r="AZ7" t="s">
        <v>1108</v>
      </c>
      <c r="BK7" t="s">
        <v>1051</v>
      </c>
      <c r="BR7" t="s">
        <v>1070</v>
      </c>
      <c r="BV7" t="s">
        <v>1120</v>
      </c>
      <c r="BW7" t="s">
        <v>1123</v>
      </c>
      <c r="CA7">
        <v>128</v>
      </c>
      <c r="CD7" t="s">
        <v>1055</v>
      </c>
      <c r="CE7">
        <v>1</v>
      </c>
      <c r="CK7" t="s">
        <v>1153</v>
      </c>
      <c r="CL7" t="s">
        <v>1163</v>
      </c>
      <c r="CM7" t="s">
        <v>1153</v>
      </c>
      <c r="CN7" t="s">
        <v>1163</v>
      </c>
      <c r="CO7" t="s">
        <v>1153</v>
      </c>
      <c r="CP7" t="s">
        <v>1163</v>
      </c>
      <c r="CQ7" t="s">
        <v>1174</v>
      </c>
      <c r="CR7" t="s">
        <v>1182</v>
      </c>
      <c r="CS7" t="s">
        <v>1174</v>
      </c>
      <c r="CT7" t="s">
        <v>1182</v>
      </c>
      <c r="CU7" t="s">
        <v>1153</v>
      </c>
      <c r="CV7" t="s">
        <v>1163</v>
      </c>
      <c r="CW7" t="s">
        <v>1177</v>
      </c>
      <c r="CX7" t="s">
        <v>1182</v>
      </c>
      <c r="CY7" t="s">
        <v>1153</v>
      </c>
      <c r="CZ7" t="s">
        <v>1163</v>
      </c>
      <c r="DA7" t="s">
        <v>1177</v>
      </c>
      <c r="DB7" t="s">
        <v>1182</v>
      </c>
      <c r="DC7" t="s">
        <v>1177</v>
      </c>
      <c r="DD7" t="s">
        <v>1182</v>
      </c>
      <c r="DE7" t="s">
        <v>1177</v>
      </c>
      <c r="DF7" t="s">
        <v>1182</v>
      </c>
      <c r="DG7" t="s">
        <v>1153</v>
      </c>
      <c r="DH7" t="s">
        <v>1163</v>
      </c>
      <c r="DI7" t="s">
        <v>1153</v>
      </c>
      <c r="DJ7" t="s">
        <v>1163</v>
      </c>
      <c r="DK7" t="s">
        <v>1177</v>
      </c>
      <c r="DL7" t="s">
        <v>1182</v>
      </c>
      <c r="DN7" s="2" t="s">
        <v>69</v>
      </c>
      <c r="DO7" s="2" t="s">
        <v>69</v>
      </c>
    </row>
    <row r="8" spans="1:121">
      <c r="A8" s="86" t="str">
        <f>'Translate&amp;Prices&amp;Logo'!B11</f>
        <v>BRW szczotkowany - maksymalna zalecana długość profilu 2500 mm</v>
      </c>
      <c r="B8">
        <v>1</v>
      </c>
      <c r="C8" t="s">
        <v>662</v>
      </c>
      <c r="D8">
        <v>0</v>
      </c>
      <c r="G8" t="s">
        <v>1037</v>
      </c>
      <c r="H8" t="s">
        <v>385</v>
      </c>
      <c r="I8">
        <v>0</v>
      </c>
      <c r="J8">
        <v>2</v>
      </c>
      <c r="K8" t="s">
        <v>662</v>
      </c>
      <c r="Q8" s="86" t="str">
        <f>'Translate&amp;Prices&amp;Logo'!$B$108</f>
        <v>Masterscreen - maksymalne wymiary 2160 x 1650 mm</v>
      </c>
      <c r="R8" s="86" t="str">
        <f>'Translate&amp;Prices&amp;Logo'!$B$117</f>
        <v xml:space="preserve">Lustro grafit </v>
      </c>
      <c r="S8" s="86" t="str">
        <f>'Translate&amp;Prices&amp;Logo'!$B$108</f>
        <v>Masterscreen - maksymalne wymiary 2160 x 1650 mm</v>
      </c>
      <c r="U8" s="86" t="e">
        <f>'Translate&amp;Prices&amp;Logo'!#REF!</f>
        <v>#REF!</v>
      </c>
      <c r="V8" s="86" t="e">
        <f>'Translate&amp;Prices&amp;Logo'!#REF!</f>
        <v>#REF!</v>
      </c>
      <c r="AA8" t="s">
        <v>1040</v>
      </c>
      <c r="AB8" t="s">
        <v>1215</v>
      </c>
      <c r="AC8">
        <v>0</v>
      </c>
      <c r="AD8">
        <v>0</v>
      </c>
      <c r="AF8" s="50" t="s">
        <v>108</v>
      </c>
      <c r="AG8" s="50" t="s">
        <v>1050</v>
      </c>
      <c r="AY8" t="s">
        <v>1070</v>
      </c>
      <c r="AZ8" t="s">
        <v>1109</v>
      </c>
      <c r="BV8" t="s">
        <v>1121</v>
      </c>
      <c r="BW8" t="s">
        <v>1124</v>
      </c>
      <c r="BY8">
        <v>2</v>
      </c>
      <c r="CA8">
        <v>160</v>
      </c>
      <c r="CD8" t="s">
        <v>1211</v>
      </c>
      <c r="CE8">
        <v>1</v>
      </c>
      <c r="CK8" t="s">
        <v>1154</v>
      </c>
      <c r="CL8" t="s">
        <v>1164</v>
      </c>
      <c r="CM8" t="s">
        <v>1154</v>
      </c>
      <c r="CN8" t="s">
        <v>1164</v>
      </c>
      <c r="CO8" t="s">
        <v>1154</v>
      </c>
      <c r="CP8" t="s">
        <v>1164</v>
      </c>
      <c r="CQ8" t="s">
        <v>1175</v>
      </c>
      <c r="CR8" t="s">
        <v>1183</v>
      </c>
      <c r="CS8" t="s">
        <v>1175</v>
      </c>
      <c r="CT8" t="s">
        <v>1183</v>
      </c>
      <c r="CU8" t="s">
        <v>1154</v>
      </c>
      <c r="CV8" t="s">
        <v>1164</v>
      </c>
      <c r="CX8" t="s">
        <v>1184</v>
      </c>
      <c r="CY8" t="s">
        <v>1154</v>
      </c>
      <c r="CZ8" t="s">
        <v>1164</v>
      </c>
      <c r="DB8" t="s">
        <v>1184</v>
      </c>
      <c r="DD8" t="s">
        <v>1184</v>
      </c>
      <c r="DF8" t="s">
        <v>1184</v>
      </c>
      <c r="DG8" t="s">
        <v>1154</v>
      </c>
      <c r="DH8" t="s">
        <v>1164</v>
      </c>
      <c r="DI8" t="s">
        <v>1154</v>
      </c>
      <c r="DJ8" t="s">
        <v>1164</v>
      </c>
      <c r="DL8" t="s">
        <v>1184</v>
      </c>
      <c r="DN8" s="2" t="s">
        <v>70</v>
      </c>
      <c r="DO8" s="2" t="s">
        <v>70</v>
      </c>
    </row>
    <row r="9" spans="1:121">
      <c r="A9" s="86" t="str">
        <f>'Translate&amp;Prices&amp;Logo'!B12</f>
        <v>BRW Czarny matowy - maksymalna zalecana długość profilu 2500 mm</v>
      </c>
      <c r="B9">
        <v>1</v>
      </c>
      <c r="C9" t="s">
        <v>662</v>
      </c>
      <c r="D9">
        <v>1</v>
      </c>
      <c r="Q9" s="86" t="str">
        <f>'Translate&amp;Prices&amp;Logo'!$B$109</f>
        <v xml:space="preserve">Venus VG10 </v>
      </c>
      <c r="R9" s="86" t="str">
        <f>'Translate&amp;Prices&amp;Logo'!$B$121</f>
        <v xml:space="preserve">Master  Ligne poziomo </v>
      </c>
      <c r="S9" s="86" t="str">
        <f>'Translate&amp;Prices&amp;Logo'!$B$109</f>
        <v xml:space="preserve">Venus VG10 </v>
      </c>
      <c r="U9" s="86" t="str">
        <f>'Translate&amp;Prices&amp;Logo'!$B$127</f>
        <v xml:space="preserve">Lacobel RAL 1015 </v>
      </c>
      <c r="V9" s="86" t="str">
        <f>'Translate&amp;Prices&amp;Logo'!$B$127</f>
        <v xml:space="preserve">Lacobel RAL 1015 </v>
      </c>
      <c r="AB9" t="s">
        <v>1216</v>
      </c>
      <c r="AC9">
        <v>0</v>
      </c>
      <c r="AD9">
        <v>0</v>
      </c>
      <c r="AF9" s="53" t="s">
        <v>107</v>
      </c>
      <c r="AG9" s="53" t="s">
        <v>1053</v>
      </c>
      <c r="AY9" t="s">
        <v>1040</v>
      </c>
      <c r="BV9" t="s">
        <v>1122</v>
      </c>
      <c r="BW9" t="s">
        <v>1125</v>
      </c>
      <c r="BY9">
        <v>3</v>
      </c>
      <c r="CA9">
        <v>192</v>
      </c>
      <c r="CD9" t="s">
        <v>1060</v>
      </c>
      <c r="CE9">
        <v>1</v>
      </c>
      <c r="CK9" t="s">
        <v>1155</v>
      </c>
      <c r="CL9" t="s">
        <v>1165</v>
      </c>
      <c r="CM9" t="s">
        <v>1155</v>
      </c>
      <c r="CN9" t="s">
        <v>1165</v>
      </c>
      <c r="CO9" t="s">
        <v>1155</v>
      </c>
      <c r="CP9" t="s">
        <v>1165</v>
      </c>
      <c r="CQ9" t="s">
        <v>1176</v>
      </c>
      <c r="CR9" t="s">
        <v>1184</v>
      </c>
      <c r="CS9" t="s">
        <v>1176</v>
      </c>
      <c r="CT9" t="s">
        <v>1184</v>
      </c>
      <c r="CU9" t="s">
        <v>1155</v>
      </c>
      <c r="CV9" t="s">
        <v>1165</v>
      </c>
      <c r="CY9" t="s">
        <v>1155</v>
      </c>
      <c r="CZ9" t="s">
        <v>1165</v>
      </c>
      <c r="DG9" t="s">
        <v>1155</v>
      </c>
      <c r="DH9" t="s">
        <v>1165</v>
      </c>
      <c r="DI9" t="s">
        <v>1155</v>
      </c>
      <c r="DJ9" t="s">
        <v>1165</v>
      </c>
      <c r="DN9" s="2" t="s">
        <v>71</v>
      </c>
      <c r="DO9" s="2" t="s">
        <v>71</v>
      </c>
    </row>
    <row r="10" spans="1:121">
      <c r="A10" s="86" t="str">
        <f>'Translate&amp;Prices&amp;Logo'!B13</f>
        <v>BRW złota- maksymalna zalecana długość profilu 2500 mm</v>
      </c>
      <c r="B10">
        <v>1</v>
      </c>
      <c r="C10" t="s">
        <v>662</v>
      </c>
      <c r="D10">
        <v>0</v>
      </c>
      <c r="Q10" s="86" t="str">
        <f>'Translate&amp;Prices&amp;Logo'!$B$110</f>
        <v>Stopsol brąz - maksymalne wymiary 2250 x 1605 mm</v>
      </c>
      <c r="R10" s="86" t="str">
        <f>'Translate&amp;Prices&amp;Logo'!$B$122</f>
        <v xml:space="preserve">Master  Point </v>
      </c>
      <c r="S10" s="86" t="str">
        <f>'Translate&amp;Prices&amp;Logo'!$B$110</f>
        <v>Stopsol brąz - maksymalne wymiary 2250 x 1605 mm</v>
      </c>
      <c r="U10" s="86" t="str">
        <f>'Translate&amp;Prices&amp;Logo'!$B$128</f>
        <v xml:space="preserve">FLUTES pionowo </v>
      </c>
      <c r="V10" s="86" t="str">
        <f>'Translate&amp;Prices&amp;Logo'!$B$128</f>
        <v xml:space="preserve">FLUTES pionowo </v>
      </c>
      <c r="AF10" s="53" t="s">
        <v>108</v>
      </c>
      <c r="AG10" s="53" t="s">
        <v>1053</v>
      </c>
      <c r="AY10" t="s">
        <v>1040</v>
      </c>
      <c r="AZ10" t="s">
        <v>1110</v>
      </c>
      <c r="CA10">
        <v>224</v>
      </c>
      <c r="CD10" t="s">
        <v>1061</v>
      </c>
      <c r="CE10">
        <v>1</v>
      </c>
      <c r="CK10" t="s">
        <v>1156</v>
      </c>
      <c r="CL10" t="s">
        <v>1166</v>
      </c>
      <c r="CM10" t="s">
        <v>1156</v>
      </c>
      <c r="CN10" t="s">
        <v>1166</v>
      </c>
      <c r="CO10" t="s">
        <v>1156</v>
      </c>
      <c r="CP10" t="s">
        <v>1166</v>
      </c>
      <c r="CQ10" t="s">
        <v>1177</v>
      </c>
      <c r="CR10" t="s">
        <v>1185</v>
      </c>
      <c r="CS10" t="s">
        <v>1177</v>
      </c>
      <c r="CT10" t="s">
        <v>1185</v>
      </c>
      <c r="CU10" t="s">
        <v>1156</v>
      </c>
      <c r="CV10" t="s">
        <v>1166</v>
      </c>
      <c r="CY10" t="s">
        <v>1156</v>
      </c>
      <c r="CZ10" t="s">
        <v>1166</v>
      </c>
      <c r="DG10" t="s">
        <v>1156</v>
      </c>
      <c r="DH10" t="s">
        <v>1166</v>
      </c>
      <c r="DI10" t="s">
        <v>1156</v>
      </c>
      <c r="DJ10" t="s">
        <v>1166</v>
      </c>
      <c r="DN10" t="s">
        <v>69</v>
      </c>
      <c r="DO10" s="2" t="s">
        <v>69</v>
      </c>
    </row>
    <row r="11" spans="1:121">
      <c r="A11" s="86" t="str">
        <f>'Translate&amp;Prices&amp;Logo'!B14</f>
        <v>BRW czarna szczotka - maksymalna zalecana długość profilu 2500 mm</v>
      </c>
      <c r="B11">
        <v>1</v>
      </c>
      <c r="C11" t="s">
        <v>662</v>
      </c>
      <c r="D11">
        <v>0</v>
      </c>
      <c r="Q11" s="86" t="str">
        <f>'Translate&amp;Prices&amp;Logo'!$B$111</f>
        <v xml:space="preserve">Lakomat </v>
      </c>
      <c r="R11" s="86">
        <f>'Translate&amp;Prices&amp;Logo'!$B$124</f>
        <v>0</v>
      </c>
      <c r="S11" s="86" t="str">
        <f>'Translate&amp;Prices&amp;Logo'!$B$113</f>
        <v xml:space="preserve">Antisol brąz </v>
      </c>
      <c r="U11" s="86" t="str">
        <f>'Translate&amp;Prices&amp;Logo'!$B$129</f>
        <v xml:space="preserve">VISIOSUN pionowo </v>
      </c>
      <c r="V11" s="86" t="str">
        <f>'Translate&amp;Prices&amp;Logo'!$B$129</f>
        <v xml:space="preserve">VISIOSUN pionowo </v>
      </c>
      <c r="AF11" s="50" t="s">
        <v>107</v>
      </c>
      <c r="AG11" s="50" t="s">
        <v>1055</v>
      </c>
      <c r="AY11" t="s">
        <v>1040</v>
      </c>
      <c r="AZ11" t="s">
        <v>1111</v>
      </c>
      <c r="CA11">
        <v>240</v>
      </c>
      <c r="CD11" t="s">
        <v>1206</v>
      </c>
      <c r="CE11">
        <v>1</v>
      </c>
      <c r="CK11" t="s">
        <v>1157</v>
      </c>
      <c r="CM11" t="s">
        <v>1157</v>
      </c>
      <c r="CO11" t="s">
        <v>1157</v>
      </c>
      <c r="CQ11" t="s">
        <v>1178</v>
      </c>
      <c r="CS11" t="s">
        <v>1178</v>
      </c>
      <c r="CU11" t="s">
        <v>1157</v>
      </c>
      <c r="CY11" t="s">
        <v>1157</v>
      </c>
      <c r="DG11" t="s">
        <v>1157</v>
      </c>
      <c r="DI11" t="s">
        <v>1157</v>
      </c>
      <c r="DN11" t="s">
        <v>70</v>
      </c>
      <c r="DO11" s="2" t="s">
        <v>70</v>
      </c>
    </row>
    <row r="12" spans="1:121">
      <c r="A12" s="86" t="str">
        <f>'Translate&amp;Prices&amp;Logo'!B15</f>
        <v>BRW acier grata - maksymalna zalecana długość profilu 2500 mm</v>
      </c>
      <c r="B12">
        <v>1</v>
      </c>
      <c r="C12" t="s">
        <v>662</v>
      </c>
      <c r="D12">
        <v>0</v>
      </c>
      <c r="Q12" s="86" t="str">
        <f>'Translate&amp;Prices&amp;Logo'!$B$112</f>
        <v xml:space="preserve">MASTER FLEX </v>
      </c>
      <c r="R12" s="86" t="str">
        <f>'Translate&amp;Prices&amp;Logo'!$B$126</f>
        <v xml:space="preserve">Lacobel RAL 1013 </v>
      </c>
      <c r="S12" s="86" t="str">
        <f>'Translate&amp;Prices&amp;Logo'!$B$114</f>
        <v xml:space="preserve">Antisol grafit </v>
      </c>
      <c r="U12" s="86" t="str">
        <f>'Translate&amp;Prices&amp;Logo'!$B$131</f>
        <v xml:space="preserve">VISIOSUN satyna poziomo </v>
      </c>
      <c r="V12" s="86" t="str">
        <f>'Translate&amp;Prices&amp;Logo'!$B$131</f>
        <v xml:space="preserve">VISIOSUN satyna poziomo </v>
      </c>
      <c r="AF12" s="50" t="s">
        <v>108</v>
      </c>
      <c r="AG12" s="50" t="s">
        <v>1055</v>
      </c>
      <c r="AY12" t="s">
        <v>1040</v>
      </c>
      <c r="AZ12" t="s">
        <v>1112</v>
      </c>
      <c r="CA12">
        <v>256</v>
      </c>
      <c r="CD12" t="s">
        <v>1064</v>
      </c>
      <c r="CE12">
        <v>1</v>
      </c>
      <c r="CK12" t="s">
        <v>1158</v>
      </c>
      <c r="CM12" t="s">
        <v>1158</v>
      </c>
      <c r="CO12" t="s">
        <v>1158</v>
      </c>
      <c r="CQ12" t="s">
        <v>1179</v>
      </c>
      <c r="CS12" t="s">
        <v>1179</v>
      </c>
      <c r="CU12" t="s">
        <v>1158</v>
      </c>
      <c r="CY12" t="s">
        <v>1158</v>
      </c>
      <c r="DG12" t="s">
        <v>1158</v>
      </c>
      <c r="DI12" t="s">
        <v>1158</v>
      </c>
      <c r="DN12" t="s">
        <v>71</v>
      </c>
      <c r="DO12" s="2" t="s">
        <v>71</v>
      </c>
    </row>
    <row r="13" spans="1:121">
      <c r="A13" s="86" t="e">
        <f>'Translate&amp;Prices&amp;Logo'!#REF!</f>
        <v>#REF!</v>
      </c>
      <c r="B13">
        <v>1</v>
      </c>
      <c r="C13" t="s">
        <v>662</v>
      </c>
      <c r="D13">
        <v>0</v>
      </c>
      <c r="Q13" s="86" t="str">
        <f>'Translate&amp;Prices&amp;Logo'!$B$113</f>
        <v xml:space="preserve">Antisol brąz </v>
      </c>
      <c r="R13" s="86" t="e">
        <f>'Translate&amp;Prices&amp;Logo'!#REF!</f>
        <v>#REF!</v>
      </c>
      <c r="S13" s="86" t="str">
        <f>'Translate&amp;Prices&amp;Logo'!$B$119</f>
        <v>Krizet - maksymalne wymiary 2130 x 1650 mm</v>
      </c>
      <c r="U13" s="86">
        <f>'Translate&amp;Prices&amp;Logo'!$B$132</f>
        <v>0</v>
      </c>
      <c r="V13" s="86">
        <f>'Translate&amp;Prices&amp;Logo'!$B$132</f>
        <v>0</v>
      </c>
      <c r="AF13" s="53" t="s">
        <v>107</v>
      </c>
      <c r="AG13" s="53" t="s">
        <v>1058</v>
      </c>
      <c r="AY13" t="s">
        <v>1040</v>
      </c>
      <c r="AZ13" t="s">
        <v>1113</v>
      </c>
      <c r="BY13" t="str">
        <f>'Translate&amp;Prices&amp;Logo'!B557</f>
        <v>Nie</v>
      </c>
      <c r="BZ13">
        <v>0</v>
      </c>
      <c r="CA13">
        <v>288</v>
      </c>
      <c r="CD13" t="s">
        <v>1205</v>
      </c>
      <c r="CE13">
        <v>1</v>
      </c>
      <c r="DN13" t="s">
        <v>222</v>
      </c>
      <c r="DO13" s="2" t="s">
        <v>69</v>
      </c>
    </row>
    <row r="14" spans="1:121">
      <c r="A14" s="86" t="str">
        <f>'Translate&amp;Prices&amp;Logo'!B16</f>
        <v>BRW INOX (stal nierdzewna) - maksymalna zalecana długość profilu 2500 mm</v>
      </c>
      <c r="B14">
        <v>1</v>
      </c>
      <c r="C14" t="s">
        <v>662</v>
      </c>
      <c r="D14">
        <v>0</v>
      </c>
      <c r="F14" t="e">
        <f>'Translate&amp;Prices&amp;Logo'!#REF!</f>
        <v>#REF!</v>
      </c>
      <c r="Q14" s="86" t="str">
        <f>'Translate&amp;Prices&amp;Logo'!$B$114</f>
        <v xml:space="preserve">Antisol grafit </v>
      </c>
      <c r="R14" s="86" t="str">
        <f>'Translate&amp;Prices&amp;Logo'!$B$127</f>
        <v xml:space="preserve">Lacobel RAL 1015 </v>
      </c>
      <c r="S14" s="86" t="str">
        <f>'Translate&amp;Prices&amp;Logo'!$B$120</f>
        <v xml:space="preserve">Master (Carre) </v>
      </c>
      <c r="U14" s="86" t="str">
        <f>'Translate&amp;Prices&amp;Logo'!$B$133</f>
        <v xml:space="preserve">Lacobel RAL 7035 </v>
      </c>
      <c r="V14" s="86" t="str">
        <f>'Translate&amp;Prices&amp;Logo'!$B$133</f>
        <v xml:space="preserve">Lacobel RAL 7035 </v>
      </c>
      <c r="AA14" t="s">
        <v>1052</v>
      </c>
      <c r="AB14" t="s">
        <v>1099</v>
      </c>
      <c r="AF14" s="53" t="s">
        <v>108</v>
      </c>
      <c r="AG14" s="53" t="s">
        <v>1058</v>
      </c>
      <c r="AY14" t="s">
        <v>1040</v>
      </c>
      <c r="AZ14" t="s">
        <v>1114</v>
      </c>
      <c r="BY14" t="str">
        <f>'Translate&amp;Prices&amp;Logo'!B558</f>
        <v>Poziomo (termin dostawy 4 tygodnie)</v>
      </c>
      <c r="BZ14">
        <v>1</v>
      </c>
      <c r="CA14">
        <v>320</v>
      </c>
      <c r="CD14" t="s">
        <v>1066</v>
      </c>
      <c r="CE14">
        <v>1</v>
      </c>
      <c r="DN14" t="s">
        <v>223</v>
      </c>
      <c r="DO14" s="2" t="s">
        <v>70</v>
      </c>
    </row>
    <row r="15" spans="1:121">
      <c r="A15" s="86" t="str">
        <f>'Translate&amp;Prices&amp;Logo'!B17</f>
        <v>Corleone (elox.)- maksymalna zalecana długość profilu 1500 mm</v>
      </c>
      <c r="B15">
        <v>2</v>
      </c>
      <c r="C15" t="s">
        <v>662</v>
      </c>
      <c r="D15">
        <v>0</v>
      </c>
      <c r="F15">
        <f>'Translate&amp;Prices&amp;Logo'!B77</f>
        <v>0</v>
      </c>
      <c r="Q15" s="86" t="str">
        <f>'Translate&amp;Prices&amp;Logo'!$B$115</f>
        <v xml:space="preserve">Lustro </v>
      </c>
      <c r="R15" s="86" t="str">
        <f>'Translate&amp;Prices&amp;Logo'!$B$128</f>
        <v xml:space="preserve">FLUTES pionowo </v>
      </c>
      <c r="S15" s="86" t="e">
        <f>'Translate&amp;Prices&amp;Logo'!#REF!</f>
        <v>#REF!</v>
      </c>
      <c r="U15" s="86">
        <f>'Translate&amp;Prices&amp;Logo'!$B$134</f>
        <v>0</v>
      </c>
      <c r="V15" s="86">
        <f>'Translate&amp;Prices&amp;Logo'!$B$134</f>
        <v>0</v>
      </c>
      <c r="AA15" t="s">
        <v>1052</v>
      </c>
      <c r="AB15" t="s">
        <v>1050</v>
      </c>
      <c r="AC15">
        <v>1</v>
      </c>
      <c r="AD15">
        <v>0</v>
      </c>
      <c r="AF15" s="50" t="s">
        <v>107</v>
      </c>
      <c r="AG15" s="50" t="s">
        <v>1060</v>
      </c>
      <c r="AY15" t="s">
        <v>566</v>
      </c>
      <c r="BY15" t="str">
        <f>'Translate&amp;Prices&amp;Logo'!B559</f>
        <v>Pionowo (termin dostawy 4 tygodnie)</v>
      </c>
      <c r="BZ15">
        <v>2</v>
      </c>
      <c r="CD15" t="s">
        <v>1067</v>
      </c>
      <c r="CE15">
        <v>1</v>
      </c>
      <c r="DN15" t="s">
        <v>1254</v>
      </c>
      <c r="DO15" s="2" t="s">
        <v>71</v>
      </c>
    </row>
    <row r="16" spans="1:121">
      <c r="A16" s="86" t="str">
        <f>'Translate&amp;Prices&amp;Logo'!B18</f>
        <v>Corleone czarny matowy - maksymalna zalecana długość profilu 1500 mm</v>
      </c>
      <c r="B16">
        <v>2</v>
      </c>
      <c r="C16" t="s">
        <v>662</v>
      </c>
      <c r="D16">
        <v>0</v>
      </c>
      <c r="F16" t="e">
        <f>'Translate&amp;Prices&amp;Logo'!#REF!</f>
        <v>#REF!</v>
      </c>
      <c r="Q16" s="86" t="str">
        <f>'Translate&amp;Prices&amp;Logo'!$B$116</f>
        <v xml:space="preserve">Lustro brązowe </v>
      </c>
      <c r="R16" s="86" t="str">
        <f>'Translate&amp;Prices&amp;Logo'!$B$129</f>
        <v xml:space="preserve">VISIOSUN pionowo </v>
      </c>
      <c r="S16" s="86" t="str">
        <f>'Translate&amp;Prices&amp;Logo'!$B$121</f>
        <v xml:space="preserve">Master  Ligne poziomo </v>
      </c>
      <c r="U16" s="86" t="str">
        <f>'Translate&amp;Prices&amp;Logo'!$B$135</f>
        <v xml:space="preserve">Lacobel RAL 9003 </v>
      </c>
      <c r="V16" s="86" t="str">
        <f>'Translate&amp;Prices&amp;Logo'!$B$135</f>
        <v xml:space="preserve">Lacobel RAL 9003 </v>
      </c>
      <c r="AA16" t="s">
        <v>1052</v>
      </c>
      <c r="AB16" t="s">
        <v>1053</v>
      </c>
      <c r="AC16">
        <v>1</v>
      </c>
      <c r="AD16">
        <v>1</v>
      </c>
      <c r="AF16" s="50" t="s">
        <v>108</v>
      </c>
      <c r="AG16" s="50" t="s">
        <v>1060</v>
      </c>
      <c r="AY16" t="s">
        <v>566</v>
      </c>
      <c r="AZ16" t="s">
        <v>1115</v>
      </c>
      <c r="BY16" t="str">
        <f>'Translate&amp;Prices&amp;Logo'!B560</f>
        <v>Poziomo i pionowo (termin dostawy 4 tygodnie)</v>
      </c>
      <c r="BZ16">
        <v>3</v>
      </c>
      <c r="CD16" t="s">
        <v>1207</v>
      </c>
      <c r="CE16">
        <v>1</v>
      </c>
      <c r="DN16" t="s">
        <v>286</v>
      </c>
      <c r="DO16" s="2" t="s">
        <v>69</v>
      </c>
    </row>
    <row r="17" spans="1:119">
      <c r="A17" s="86" t="e">
        <f>'Translate&amp;Prices&amp;Logo'!#REF!</f>
        <v>#REF!</v>
      </c>
      <c r="B17">
        <v>2</v>
      </c>
      <c r="C17" t="s">
        <v>662</v>
      </c>
      <c r="D17">
        <v>0</v>
      </c>
      <c r="F17">
        <f>'Translate&amp;Prices&amp;Logo'!B79</f>
        <v>0</v>
      </c>
      <c r="Q17" s="86" t="str">
        <f>'Translate&amp;Prices&amp;Logo'!$B$117</f>
        <v xml:space="preserve">Lustro grafit </v>
      </c>
      <c r="R17" s="86" t="str">
        <f>'Translate&amp;Prices&amp;Logo'!$B$131</f>
        <v xml:space="preserve">VISIOSUN satyna poziomo </v>
      </c>
      <c r="S17" s="86" t="str">
        <f>'Translate&amp;Prices&amp;Logo'!$B$122</f>
        <v xml:space="preserve">Master  Point </v>
      </c>
      <c r="U17" s="86" t="str">
        <f>'Translate&amp;Prices&amp;Logo'!$B$136</f>
        <v xml:space="preserve">Lacobel RAL 9005 </v>
      </c>
      <c r="V17" s="86" t="str">
        <f>'Translate&amp;Prices&amp;Logo'!$B$136</f>
        <v xml:space="preserve">Lacobel RAL 9005 </v>
      </c>
      <c r="AA17" t="s">
        <v>1052</v>
      </c>
      <c r="AB17" t="s">
        <v>1054</v>
      </c>
      <c r="AC17">
        <v>0</v>
      </c>
      <c r="AD17">
        <v>0</v>
      </c>
      <c r="AF17" s="53" t="s">
        <v>107</v>
      </c>
      <c r="AG17" s="53" t="s">
        <v>1061</v>
      </c>
      <c r="AY17" t="s">
        <v>566</v>
      </c>
      <c r="AZ17" t="s">
        <v>1116</v>
      </c>
      <c r="CD17" t="s">
        <v>1208</v>
      </c>
      <c r="CE17">
        <v>1</v>
      </c>
      <c r="DN17" t="s">
        <v>287</v>
      </c>
      <c r="DO17" s="2" t="s">
        <v>70</v>
      </c>
    </row>
    <row r="18" spans="1:119">
      <c r="A18" s="86" t="str">
        <f>'Translate&amp;Prices&amp;Logo'!B19</f>
        <v>Imola (elox.) - maksymalna zalecana długość profilu 2500 mm</v>
      </c>
      <c r="B18">
        <v>2</v>
      </c>
      <c r="C18" t="s">
        <v>1084</v>
      </c>
      <c r="D18">
        <v>0</v>
      </c>
      <c r="F18">
        <f>'Translate&amp;Prices&amp;Logo'!B83</f>
        <v>0</v>
      </c>
      <c r="Q18" s="86" t="str">
        <f>'Translate&amp;Prices&amp;Logo'!$B$119</f>
        <v>Krizet - maksymalne wymiary 2130 x 1650 mm</v>
      </c>
      <c r="R18" s="86">
        <f>'Translate&amp;Prices&amp;Logo'!$B$132</f>
        <v>0</v>
      </c>
      <c r="S18" s="86" t="str">
        <f>'Translate&amp;Prices&amp;Logo'!$B$123</f>
        <v xml:space="preserve">FLUTES poziomo </v>
      </c>
      <c r="U18" s="86" t="str">
        <f>'Translate&amp;Prices&amp;Logo'!$B$137</f>
        <v xml:space="preserve">Lacobel RAL 9006 </v>
      </c>
      <c r="V18" s="86" t="str">
        <f>'Translate&amp;Prices&amp;Logo'!$B$137</f>
        <v xml:space="preserve">Lacobel RAL 9006 </v>
      </c>
      <c r="AA18" t="s">
        <v>1052</v>
      </c>
      <c r="AB18" t="s">
        <v>1056</v>
      </c>
      <c r="AC18">
        <v>0</v>
      </c>
      <c r="AD18">
        <v>0</v>
      </c>
      <c r="AF18" s="53" t="s">
        <v>108</v>
      </c>
      <c r="AG18" s="53" t="s">
        <v>1061</v>
      </c>
      <c r="AY18" t="s">
        <v>566</v>
      </c>
      <c r="AZ18" t="s">
        <v>1117</v>
      </c>
      <c r="BY18">
        <v>1</v>
      </c>
      <c r="CD18" t="s">
        <v>1071</v>
      </c>
      <c r="CE18">
        <v>1</v>
      </c>
      <c r="DN18" t="s">
        <v>288</v>
      </c>
      <c r="DO18" s="2" t="s">
        <v>71</v>
      </c>
    </row>
    <row r="19" spans="1:119">
      <c r="A19" s="86" t="str">
        <f>'Translate&amp;Prices&amp;Logo'!B20</f>
        <v>Imola Czarny matowy - maksymalna zalecana długość profilu 2500 mm</v>
      </c>
      <c r="B19">
        <v>2</v>
      </c>
      <c r="C19" t="s">
        <v>1084</v>
      </c>
      <c r="D19">
        <v>0</v>
      </c>
      <c r="F19" t="str">
        <f>'Translate&amp;Prices&amp;Logo'!B80</f>
        <v>Rocca elox (lewa i prawa) + Varna elox (góra i dół)</v>
      </c>
      <c r="Q19" s="86" t="str">
        <f>'Translate&amp;Prices&amp;Logo'!$B$120</f>
        <v xml:space="preserve">Master (Carre) </v>
      </c>
      <c r="R19" s="86" t="str">
        <f>'Translate&amp;Prices&amp;Logo'!$B$133</f>
        <v xml:space="preserve">Lacobel RAL 7035 </v>
      </c>
      <c r="S19" s="86">
        <f>'Translate&amp;Prices&amp;Logo'!$B$124</f>
        <v>0</v>
      </c>
      <c r="U19" s="86" t="str">
        <f>'Translate&amp;Prices&amp;Logo'!$B$138</f>
        <v xml:space="preserve">Lacobel RAL 9007 </v>
      </c>
      <c r="V19" s="86" t="str">
        <f>'Translate&amp;Prices&amp;Logo'!$B$138</f>
        <v xml:space="preserve">Lacobel RAL 9007 </v>
      </c>
      <c r="AA19" t="s">
        <v>1052</v>
      </c>
      <c r="AB19" t="s">
        <v>1057</v>
      </c>
      <c r="AC19">
        <v>0</v>
      </c>
      <c r="AD19">
        <v>0</v>
      </c>
      <c r="AF19" s="50" t="s">
        <v>107</v>
      </c>
      <c r="AG19" s="50" t="s">
        <v>1063</v>
      </c>
      <c r="AY19" t="s">
        <v>566</v>
      </c>
      <c r="AZ19" t="s">
        <v>1118</v>
      </c>
      <c r="BY19">
        <v>2</v>
      </c>
    </row>
    <row r="20" spans="1:119">
      <c r="A20" s="86" t="str">
        <f>'Translate&amp;Prices&amp;Logo'!B21</f>
        <v>Imola bialy matowy RAL 9003 - maksymalna zalecana długość profilu 2500 mm</v>
      </c>
      <c r="B20">
        <v>2</v>
      </c>
      <c r="C20" t="s">
        <v>1084</v>
      </c>
      <c r="D20">
        <v>0</v>
      </c>
      <c r="Q20" s="86" t="e">
        <f>'Translate&amp;Prices&amp;Logo'!#REF!</f>
        <v>#REF!</v>
      </c>
      <c r="R20" s="86">
        <f>'Translate&amp;Prices&amp;Logo'!$B$134</f>
        <v>0</v>
      </c>
      <c r="U20" s="86" t="str">
        <f>'Translate&amp;Prices&amp;Logo'!$B$139</f>
        <v xml:space="preserve">Lacobel RAL 9010 </v>
      </c>
      <c r="V20" s="86" t="str">
        <f>'Translate&amp;Prices&amp;Logo'!$B$139</f>
        <v xml:space="preserve">Lacobel RAL 9010 </v>
      </c>
      <c r="AA20" t="s">
        <v>1052</v>
      </c>
      <c r="AB20" t="s">
        <v>1059</v>
      </c>
      <c r="AC20">
        <v>0</v>
      </c>
      <c r="AD20">
        <v>0</v>
      </c>
      <c r="AF20" s="50" t="s">
        <v>108</v>
      </c>
      <c r="AG20" s="50" t="s">
        <v>1063</v>
      </c>
      <c r="AY20" t="s">
        <v>566</v>
      </c>
      <c r="AZ20" t="s">
        <v>1119</v>
      </c>
      <c r="BY20">
        <v>3</v>
      </c>
    </row>
    <row r="21" spans="1:119">
      <c r="A21" s="86" t="str">
        <f>'Translate&amp;Prices&amp;Logo'!B22</f>
        <v>Modena (elox.) - maksymalna zalecana długość profilu 2500 mm</v>
      </c>
      <c r="B21">
        <v>2</v>
      </c>
      <c r="C21" t="s">
        <v>662</v>
      </c>
      <c r="D21">
        <v>0</v>
      </c>
      <c r="Q21" s="86" t="str">
        <f>'Translate&amp;Prices&amp;Logo'!$B$121</f>
        <v xml:space="preserve">Master  Ligne poziomo </v>
      </c>
      <c r="R21" s="86" t="str">
        <f>'Translate&amp;Prices&amp;Logo'!$B$135</f>
        <v xml:space="preserve">Lacobel RAL 9003 </v>
      </c>
      <c r="U21" s="86" t="str">
        <f>'Translate&amp;Prices&amp;Logo'!$B$140</f>
        <v xml:space="preserve">Moru brąz pionowo </v>
      </c>
      <c r="V21" s="86" t="str">
        <f>'Translate&amp;Prices&amp;Logo'!$B$140</f>
        <v xml:space="preserve">Moru brąz pionowo </v>
      </c>
      <c r="AA21" t="s">
        <v>1052</v>
      </c>
      <c r="AB21" t="s">
        <v>1055</v>
      </c>
      <c r="AC21">
        <v>1</v>
      </c>
      <c r="AD21">
        <v>0</v>
      </c>
      <c r="AF21" s="53" t="s">
        <v>107</v>
      </c>
      <c r="AG21" s="53" t="s">
        <v>1064</v>
      </c>
      <c r="BY21">
        <v>4</v>
      </c>
    </row>
    <row r="22" spans="1:119">
      <c r="A22" s="86" t="str">
        <f>'Translate&amp;Prices&amp;Logo'!B23</f>
        <v>Modena Czarny matowy - maksymalna zalecana długość profilu 2500 mm</v>
      </c>
      <c r="B22">
        <v>2</v>
      </c>
      <c r="C22" t="s">
        <v>662</v>
      </c>
      <c r="D22">
        <v>0</v>
      </c>
      <c r="Q22" s="86" t="str">
        <f>'Translate&amp;Prices&amp;Logo'!$B$122</f>
        <v xml:space="preserve">Master  Point </v>
      </c>
      <c r="R22" s="86" t="str">
        <f>'Translate&amp;Prices&amp;Logo'!$B$136</f>
        <v xml:space="preserve">Lacobel RAL 9005 </v>
      </c>
      <c r="U22" s="86" t="str">
        <f>'Translate&amp;Prices&amp;Logo'!$B$141</f>
        <v xml:space="preserve">Moru grafit pionowo </v>
      </c>
      <c r="V22" s="86" t="str">
        <f>'Translate&amp;Prices&amp;Logo'!$B$141</f>
        <v xml:space="preserve">Moru grafit pionowo </v>
      </c>
      <c r="AA22" t="s">
        <v>1052</v>
      </c>
      <c r="AB22" t="s">
        <v>1211</v>
      </c>
      <c r="AC22">
        <v>1</v>
      </c>
      <c r="AD22">
        <v>0</v>
      </c>
      <c r="AF22" s="53" t="s">
        <v>108</v>
      </c>
      <c r="AG22" s="53" t="s">
        <v>1064</v>
      </c>
      <c r="BY22">
        <v>5</v>
      </c>
    </row>
    <row r="23" spans="1:119">
      <c r="A23" s="86" t="str">
        <f>'Translate&amp;Prices&amp;Logo'!B24</f>
        <v>Verona złota - maksymalna zalecana długość profilu 2150 mm</v>
      </c>
      <c r="B23">
        <v>2</v>
      </c>
      <c r="C23" t="s">
        <v>662</v>
      </c>
      <c r="D23">
        <v>0</v>
      </c>
      <c r="G23" s="786"/>
      <c r="H23" s="786"/>
      <c r="I23" s="786"/>
      <c r="Q23" s="86" t="str">
        <f>'Translate&amp;Prices&amp;Logo'!$B$123</f>
        <v xml:space="preserve">FLUTES poziomo </v>
      </c>
      <c r="R23" s="86" t="str">
        <f>'Translate&amp;Prices&amp;Logo'!$B$137</f>
        <v xml:space="preserve">Lacobel RAL 9006 </v>
      </c>
      <c r="U23" s="86">
        <f>'Translate&amp;Prices&amp;Logo'!$B$142</f>
        <v>0</v>
      </c>
      <c r="V23" s="86">
        <f>'Translate&amp;Prices&amp;Logo'!$B$142</f>
        <v>0</v>
      </c>
      <c r="AA23" t="s">
        <v>1052</v>
      </c>
      <c r="AB23" t="s">
        <v>1060</v>
      </c>
      <c r="AC23">
        <v>1</v>
      </c>
      <c r="AD23">
        <v>0</v>
      </c>
      <c r="AF23" s="50" t="s">
        <v>107</v>
      </c>
      <c r="AG23" s="50" t="s">
        <v>1065</v>
      </c>
      <c r="BY23">
        <v>6</v>
      </c>
    </row>
    <row r="24" spans="1:119">
      <c r="A24" s="86" t="str">
        <f>'Translate&amp;Prices&amp;Logo'!B25</f>
        <v>Modena czarna szczotka - maksymalna zalecana długość profilu 2500 mm</v>
      </c>
      <c r="B24">
        <v>2</v>
      </c>
      <c r="C24" t="s">
        <v>662</v>
      </c>
      <c r="D24">
        <v>0</v>
      </c>
      <c r="G24" s="786"/>
      <c r="H24" s="786"/>
      <c r="I24" s="786"/>
      <c r="Q24" s="86">
        <f>'Translate&amp;Prices&amp;Logo'!$B$124</f>
        <v>0</v>
      </c>
      <c r="R24" s="86" t="str">
        <f>'Translate&amp;Prices&amp;Logo'!$B$138</f>
        <v xml:space="preserve">Lacobel RAL 9007 </v>
      </c>
      <c r="U24" s="86">
        <f>'Translate&amp;Prices&amp;Logo'!$B$143</f>
        <v>0</v>
      </c>
      <c r="V24" s="86">
        <f>'Translate&amp;Prices&amp;Logo'!$B$143</f>
        <v>0</v>
      </c>
      <c r="AF24" s="50" t="s">
        <v>108</v>
      </c>
      <c r="AG24" s="50" t="s">
        <v>1065</v>
      </c>
      <c r="BY24">
        <v>7</v>
      </c>
    </row>
    <row r="25" spans="1:119">
      <c r="A25" s="86" t="str">
        <f>'Translate&amp;Prices&amp;Logo'!B26</f>
        <v>Modena INOX (stal nierdzewna) - maksymalna zalecana długość profilu 2500 mm</v>
      </c>
      <c r="B25">
        <v>2</v>
      </c>
      <c r="C25" t="s">
        <v>662</v>
      </c>
      <c r="D25">
        <v>0</v>
      </c>
      <c r="G25" s="786"/>
      <c r="H25" s="786"/>
      <c r="I25" s="786"/>
      <c r="Q25" s="86" t="str">
        <f>'Translate&amp;Prices&amp;Logo'!$B$126</f>
        <v xml:space="preserve">Lacobel RAL 1013 </v>
      </c>
      <c r="R25" s="86" t="str">
        <f>'Translate&amp;Prices&amp;Logo'!$B$139</f>
        <v xml:space="preserve">Lacobel RAL 9010 </v>
      </c>
      <c r="U25" s="86" t="str">
        <f>'Translate&amp;Prices&amp;Logo'!$B$144</f>
        <v xml:space="preserve">Moru brąz poziomo </v>
      </c>
      <c r="V25" s="86" t="str">
        <f>'Translate&amp;Prices&amp;Logo'!$B$144</f>
        <v xml:space="preserve">Moru brąz poziomo </v>
      </c>
      <c r="AF25" s="53" t="s">
        <v>107</v>
      </c>
      <c r="AG25" s="53" t="s">
        <v>1066</v>
      </c>
      <c r="BY25">
        <v>8</v>
      </c>
    </row>
    <row r="26" spans="1:119">
      <c r="A26" s="86">
        <f>'Translate&amp;Prices&amp;Logo'!B27</f>
        <v>0</v>
      </c>
      <c r="B26">
        <v>2</v>
      </c>
      <c r="C26" t="s">
        <v>662</v>
      </c>
      <c r="D26">
        <v>0</v>
      </c>
      <c r="G26" s="786"/>
      <c r="H26" s="786"/>
      <c r="I26" s="786"/>
      <c r="Q26" s="86" t="e">
        <f>'Translate&amp;Prices&amp;Logo'!#REF!</f>
        <v>#REF!</v>
      </c>
      <c r="R26" s="86" t="str">
        <f>'Translate&amp;Prices&amp;Logo'!$B$140</f>
        <v xml:space="preserve">Moru brąz pionowo </v>
      </c>
      <c r="U26" s="86" t="str">
        <f>'Translate&amp;Prices&amp;Logo'!$B$145</f>
        <v xml:space="preserve">Moru grafit poziomo </v>
      </c>
      <c r="V26" s="86" t="str">
        <f>'Translate&amp;Prices&amp;Logo'!$B$145</f>
        <v xml:space="preserve">Moru grafit poziomo </v>
      </c>
      <c r="AF26" s="53" t="s">
        <v>108</v>
      </c>
      <c r="AG26" s="53" t="s">
        <v>1066</v>
      </c>
      <c r="BY26">
        <v>9</v>
      </c>
    </row>
    <row r="27" spans="1:119">
      <c r="A27" s="86">
        <f>'Translate&amp;Prices&amp;Logo'!B28</f>
        <v>0</v>
      </c>
      <c r="B27">
        <v>2</v>
      </c>
      <c r="C27" t="s">
        <v>662</v>
      </c>
      <c r="D27">
        <v>0</v>
      </c>
      <c r="G27" s="786"/>
      <c r="H27" s="786"/>
      <c r="I27" s="786"/>
      <c r="Q27" s="86" t="str">
        <f>'Translate&amp;Prices&amp;Logo'!$B$127</f>
        <v xml:space="preserve">Lacobel RAL 1015 </v>
      </c>
      <c r="R27" s="86" t="str">
        <f>'Translate&amp;Prices&amp;Logo'!$B$141</f>
        <v xml:space="preserve">Moru grafit pionowo </v>
      </c>
      <c r="U27" s="86">
        <f>'Translate&amp;Prices&amp;Logo'!$B$146</f>
        <v>0</v>
      </c>
      <c r="V27" s="86">
        <f>'Translate&amp;Prices&amp;Logo'!$B$146</f>
        <v>0</v>
      </c>
      <c r="AF27" s="50" t="s">
        <v>107</v>
      </c>
      <c r="AG27" s="50" t="s">
        <v>1067</v>
      </c>
      <c r="BY27">
        <v>10</v>
      </c>
    </row>
    <row r="28" spans="1:119">
      <c r="A28" s="86" t="str">
        <f>'Translate&amp;Prices&amp;Logo'!B29</f>
        <v>Pisa (elox.) - maksymalna zalecana długość profilu 2500 mm</v>
      </c>
      <c r="B28">
        <v>2</v>
      </c>
      <c r="C28" t="s">
        <v>1084</v>
      </c>
      <c r="D28">
        <v>0</v>
      </c>
      <c r="G28" s="786"/>
      <c r="H28" s="786"/>
      <c r="I28" s="786"/>
      <c r="Q28" s="86" t="str">
        <f>'Translate&amp;Prices&amp;Logo'!$B$128</f>
        <v xml:space="preserve">FLUTES pionowo </v>
      </c>
      <c r="R28" s="86">
        <f>'Translate&amp;Prices&amp;Logo'!$B$142</f>
        <v>0</v>
      </c>
      <c r="U28" s="86">
        <f>'Translate&amp;Prices&amp;Logo'!$B$147</f>
        <v>0</v>
      </c>
      <c r="V28" s="86">
        <f>'Translate&amp;Prices&amp;Logo'!$B$147</f>
        <v>0</v>
      </c>
      <c r="AA28" t="s">
        <v>1062</v>
      </c>
      <c r="AB28" t="s">
        <v>1098</v>
      </c>
      <c r="AF28" s="50" t="s">
        <v>108</v>
      </c>
      <c r="AG28" s="50" t="s">
        <v>1067</v>
      </c>
    </row>
    <row r="29" spans="1:119">
      <c r="A29" s="86" t="str">
        <f>'Translate&amp;Prices&amp;Logo'!B30</f>
        <v>Pisa Czarny matowy - maksymalna zalecana długość profilu 2500 mm</v>
      </c>
      <c r="B29">
        <v>2</v>
      </c>
      <c r="C29" t="s">
        <v>1084</v>
      </c>
      <c r="D29">
        <v>0</v>
      </c>
      <c r="G29" s="786"/>
      <c r="H29" s="786"/>
      <c r="I29" s="786"/>
      <c r="Q29" s="86" t="str">
        <f>'Translate&amp;Prices&amp;Logo'!$B$129</f>
        <v xml:space="preserve">VISIOSUN pionowo </v>
      </c>
      <c r="R29" s="86">
        <f>'Translate&amp;Prices&amp;Logo'!$B$143</f>
        <v>0</v>
      </c>
      <c r="U29" s="86">
        <f>'Translate&amp;Prices&amp;Logo'!$B$148</f>
        <v>0</v>
      </c>
      <c r="V29" s="86">
        <f>'Translate&amp;Prices&amp;Logo'!$B$148</f>
        <v>0</v>
      </c>
      <c r="AA29" t="s">
        <v>1062</v>
      </c>
      <c r="AB29" t="s">
        <v>1061</v>
      </c>
      <c r="AC29">
        <v>1</v>
      </c>
      <c r="AD29">
        <v>0</v>
      </c>
      <c r="AF29" s="53" t="s">
        <v>107</v>
      </c>
      <c r="AG29" s="53" t="s">
        <v>1068</v>
      </c>
    </row>
    <row r="30" spans="1:119">
      <c r="A30" s="86" t="str">
        <f>'Translate&amp;Prices&amp;Logo'!B31</f>
        <v>Vivaro złota - maksymalna zalecana zalecana długość profilu 2150 mm</v>
      </c>
      <c r="B30">
        <v>2</v>
      </c>
      <c r="C30" t="s">
        <v>1084</v>
      </c>
      <c r="D30">
        <v>0</v>
      </c>
      <c r="Q30" s="86" t="str">
        <f>'Translate&amp;Prices&amp;Logo'!$B$131</f>
        <v xml:space="preserve">VISIOSUN satyna poziomo </v>
      </c>
      <c r="R30" s="86" t="str">
        <f>'Translate&amp;Prices&amp;Logo'!$B$144</f>
        <v xml:space="preserve">Moru brąz poziomo </v>
      </c>
      <c r="U30" s="86">
        <f>'Translate&amp;Prices&amp;Logo'!$B$149</f>
        <v>0</v>
      </c>
      <c r="V30" s="86">
        <f>'Translate&amp;Prices&amp;Logo'!$B$149</f>
        <v>0</v>
      </c>
      <c r="AA30" t="s">
        <v>1062</v>
      </c>
      <c r="AB30" t="s">
        <v>1206</v>
      </c>
      <c r="AC30">
        <v>1</v>
      </c>
      <c r="AD30">
        <v>0</v>
      </c>
      <c r="AF30" s="53" t="s">
        <v>108</v>
      </c>
      <c r="AG30" s="53" t="s">
        <v>1068</v>
      </c>
    </row>
    <row r="31" spans="1:119">
      <c r="A31" s="86" t="e">
        <f>'Translate&amp;Prices&amp;Logo'!#REF!</f>
        <v>#REF!</v>
      </c>
      <c r="B31">
        <v>1</v>
      </c>
      <c r="C31" t="s">
        <v>662</v>
      </c>
      <c r="D31">
        <v>0</v>
      </c>
      <c r="Q31" s="86">
        <f>'Translate&amp;Prices&amp;Logo'!$B$132</f>
        <v>0</v>
      </c>
      <c r="R31" s="86" t="str">
        <f>'Translate&amp;Prices&amp;Logo'!$B$145</f>
        <v xml:space="preserve">Moru grafit poziomo </v>
      </c>
      <c r="U31" s="86">
        <f>'Translate&amp;Prices&amp;Logo'!$B$150</f>
        <v>0</v>
      </c>
      <c r="V31" s="86">
        <f>'Translate&amp;Prices&amp;Logo'!$B$150</f>
        <v>0</v>
      </c>
      <c r="AA31" t="s">
        <v>1062</v>
      </c>
      <c r="AB31" t="s">
        <v>1064</v>
      </c>
      <c r="AC31">
        <v>1</v>
      </c>
      <c r="AD31">
        <v>0</v>
      </c>
      <c r="AF31" s="50" t="s">
        <v>107</v>
      </c>
      <c r="AG31" s="50" t="s">
        <v>1069</v>
      </c>
    </row>
    <row r="32" spans="1:119">
      <c r="A32" s="86">
        <f>'Translate&amp;Prices&amp;Logo'!B32</f>
        <v>0</v>
      </c>
      <c r="B32">
        <v>2</v>
      </c>
      <c r="C32" t="s">
        <v>662</v>
      </c>
      <c r="D32">
        <v>0</v>
      </c>
      <c r="Q32" s="86" t="str">
        <f>'Translate&amp;Prices&amp;Logo'!$B$133</f>
        <v xml:space="preserve">Lacobel RAL 7035 </v>
      </c>
      <c r="R32" s="86">
        <f>'Translate&amp;Prices&amp;Logo'!$B$146</f>
        <v>0</v>
      </c>
      <c r="U32" s="86">
        <f>'Translate&amp;Prices&amp;Logo'!$B$151</f>
        <v>0</v>
      </c>
      <c r="V32" s="86">
        <f>'Translate&amp;Prices&amp;Logo'!$B$151</f>
        <v>0</v>
      </c>
      <c r="AA32" t="s">
        <v>1062</v>
      </c>
      <c r="AB32" t="s">
        <v>1205</v>
      </c>
      <c r="AC32">
        <v>1</v>
      </c>
      <c r="AD32">
        <v>0</v>
      </c>
      <c r="AF32" s="50" t="s">
        <v>108</v>
      </c>
      <c r="AG32" s="50" t="s">
        <v>1069</v>
      </c>
    </row>
    <row r="33" spans="1:33">
      <c r="A33" s="86">
        <f>'Translate&amp;Prices&amp;Logo'!$B$33</f>
        <v>0</v>
      </c>
      <c r="B33">
        <v>2</v>
      </c>
      <c r="C33" t="s">
        <v>662</v>
      </c>
      <c r="D33">
        <v>0</v>
      </c>
      <c r="Q33" s="86">
        <f>'Translate&amp;Prices&amp;Logo'!$B$134</f>
        <v>0</v>
      </c>
      <c r="R33" s="86">
        <f>'Translate&amp;Prices&amp;Logo'!$B$147</f>
        <v>0</v>
      </c>
      <c r="U33" s="86">
        <f>'Translate&amp;Prices&amp;Logo'!$B$152</f>
        <v>0</v>
      </c>
      <c r="V33" s="86">
        <f>'Translate&amp;Prices&amp;Logo'!$B$152</f>
        <v>0</v>
      </c>
      <c r="AA33" t="s">
        <v>1062</v>
      </c>
      <c r="AB33" t="s">
        <v>1066</v>
      </c>
      <c r="AC33">
        <v>1</v>
      </c>
      <c r="AD33">
        <v>0</v>
      </c>
      <c r="AF33" s="53" t="s">
        <v>107</v>
      </c>
      <c r="AG33" s="53" t="s">
        <v>1071</v>
      </c>
    </row>
    <row r="34" spans="1:33">
      <c r="A34" s="86" t="str">
        <f>'Translate&amp;Prices&amp;Logo'!B34</f>
        <v>Verona (elox.) - maksymalna zalecana zalecana długość profilu 2500 mm</v>
      </c>
      <c r="B34">
        <v>1</v>
      </c>
      <c r="C34" t="s">
        <v>662</v>
      </c>
      <c r="D34">
        <v>0</v>
      </c>
      <c r="Q34" s="86" t="str">
        <f>'Translate&amp;Prices&amp;Logo'!$B$135</f>
        <v xml:space="preserve">Lacobel RAL 9003 </v>
      </c>
      <c r="R34" s="86">
        <f>'Translate&amp;Prices&amp;Logo'!$B$148</f>
        <v>0</v>
      </c>
      <c r="U34" s="86">
        <f>'Translate&amp;Prices&amp;Logo'!$B$153</f>
        <v>0</v>
      </c>
      <c r="V34" s="86">
        <f>'Translate&amp;Prices&amp;Logo'!$B$153</f>
        <v>0</v>
      </c>
      <c r="AB34" t="s">
        <v>1067</v>
      </c>
      <c r="AC34">
        <v>1</v>
      </c>
      <c r="AD34">
        <v>0</v>
      </c>
      <c r="AF34" s="53" t="s">
        <v>108</v>
      </c>
      <c r="AG34" s="53" t="s">
        <v>1071</v>
      </c>
    </row>
    <row r="35" spans="1:33">
      <c r="A35" s="86" t="str">
        <f>'Translate&amp;Prices&amp;Logo'!B35</f>
        <v>Verona szczotkowany - maksymalna zalecana zalecana długość profilu 2500 mm</v>
      </c>
      <c r="B35">
        <v>1</v>
      </c>
      <c r="C35" t="s">
        <v>662</v>
      </c>
      <c r="D35">
        <v>0</v>
      </c>
      <c r="Q35" s="86" t="str">
        <f>'Translate&amp;Prices&amp;Logo'!$B$136</f>
        <v xml:space="preserve">Lacobel RAL 9005 </v>
      </c>
      <c r="R35" s="86">
        <f>'Translate&amp;Prices&amp;Logo'!$B$149</f>
        <v>0</v>
      </c>
      <c r="U35" s="86" t="str">
        <f>'Translate&amp;Prices&amp;Logo'!$B$154</f>
        <v xml:space="preserve">Matelac RAL 9003 </v>
      </c>
      <c r="V35" s="86" t="str">
        <f>'Translate&amp;Prices&amp;Logo'!$B$154</f>
        <v xml:space="preserve">Matelac RAL 9003 </v>
      </c>
    </row>
    <row r="36" spans="1:33">
      <c r="A36" s="86" t="str">
        <f>'Translate&amp;Prices&amp;Logo'!B36</f>
        <v>Verona czarny połysk - maksymalna zalecana zalecana długość profilu 2500 mm</v>
      </c>
      <c r="B36">
        <v>1</v>
      </c>
      <c r="C36" t="s">
        <v>662</v>
      </c>
      <c r="D36">
        <v>0</v>
      </c>
      <c r="Q36" s="86" t="str">
        <f>'Translate&amp;Prices&amp;Logo'!$B$137</f>
        <v xml:space="preserve">Lacobel RAL 9006 </v>
      </c>
      <c r="R36" s="86">
        <f>'Translate&amp;Prices&amp;Logo'!$B$150</f>
        <v>0</v>
      </c>
      <c r="U36" s="86" t="str">
        <f>'Translate&amp;Prices&amp;Logo'!$B$155</f>
        <v xml:space="preserve">Matelac RAL 9005 </v>
      </c>
      <c r="V36" s="86" t="str">
        <f>'Translate&amp;Prices&amp;Logo'!$B$155</f>
        <v xml:space="preserve">Matelac RAL 9005 </v>
      </c>
    </row>
    <row r="37" spans="1:33">
      <c r="A37" s="86" t="str">
        <f>'Translate&amp;Prices&amp;Logo'!B37</f>
        <v>Verona czarny matowy - maksymalna zalecana zalecana długość profilu 2500 mm</v>
      </c>
      <c r="B37">
        <v>1</v>
      </c>
      <c r="C37" t="s">
        <v>662</v>
      </c>
      <c r="D37">
        <v>0</v>
      </c>
      <c r="Q37" s="86" t="str">
        <f>'Translate&amp;Prices&amp;Logo'!$B$138</f>
        <v xml:space="preserve">Lacobel RAL 9007 </v>
      </c>
      <c r="R37" s="86">
        <f>'Translate&amp;Prices&amp;Logo'!$B$151</f>
        <v>0</v>
      </c>
      <c r="U37" s="86">
        <f>'Translate&amp;Prices&amp;Logo'!$B$156</f>
        <v>0</v>
      </c>
      <c r="V37" s="86">
        <f>'Translate&amp;Prices&amp;Logo'!$B$156</f>
        <v>0</v>
      </c>
    </row>
    <row r="38" spans="1:33">
      <c r="A38" s="86" t="str">
        <f>'Translate&amp;Prices&amp;Logo'!B38</f>
        <v>Verona braz - maksymalna zalecana zalecana długość profilu 2500 mm</v>
      </c>
      <c r="B38">
        <v>1</v>
      </c>
      <c r="C38" t="s">
        <v>662</v>
      </c>
      <c r="D38">
        <v>0</v>
      </c>
      <c r="Q38" s="86" t="str">
        <f>'Translate&amp;Prices&amp;Logo'!$B$139</f>
        <v xml:space="preserve">Lacobel RAL 9010 </v>
      </c>
      <c r="R38" s="86">
        <f>'Translate&amp;Prices&amp;Logo'!$B$152</f>
        <v>0</v>
      </c>
      <c r="U38" s="86">
        <f>'Translate&amp;Prices&amp;Logo'!$B$157</f>
        <v>0</v>
      </c>
      <c r="V38" s="86">
        <f>'Translate&amp;Prices&amp;Logo'!$B$157</f>
        <v>0</v>
      </c>
    </row>
    <row r="39" spans="1:33">
      <c r="A39" s="86" t="str">
        <f>'Translate&amp;Prices&amp;Logo'!B39</f>
        <v>Verona szampański - maksymalna zalecana zalecana długość profilu 2500 mm</v>
      </c>
      <c r="B39">
        <v>1</v>
      </c>
      <c r="C39" t="s">
        <v>662</v>
      </c>
      <c r="D39">
        <v>0</v>
      </c>
      <c r="Q39" s="86" t="str">
        <f>'Translate&amp;Prices&amp;Logo'!$B$140</f>
        <v xml:space="preserve">Moru brąz pionowo </v>
      </c>
      <c r="R39" s="86">
        <f>'Translate&amp;Prices&amp;Logo'!$B$153</f>
        <v>0</v>
      </c>
      <c r="U39" s="86">
        <f>'Translate&amp;Prices&amp;Logo'!$B$158</f>
        <v>0</v>
      </c>
      <c r="V39" s="86">
        <f>'Translate&amp;Prices&amp;Logo'!$B$158</f>
        <v>0</v>
      </c>
      <c r="AA39" t="s">
        <v>566</v>
      </c>
      <c r="AB39" t="s">
        <v>1096</v>
      </c>
    </row>
    <row r="40" spans="1:33">
      <c r="A40" s="86" t="str">
        <f>'Translate&amp;Prices&amp;Logo'!B40</f>
        <v>Verona Inox szczotkowany - maksymalna zalecana zalecana długość profilu 2500 mm</v>
      </c>
      <c r="B40">
        <v>1</v>
      </c>
      <c r="C40" t="s">
        <v>662</v>
      </c>
      <c r="D40">
        <v>0</v>
      </c>
      <c r="Q40" s="86" t="str">
        <f>'Translate&amp;Prices&amp;Logo'!$B$141</f>
        <v xml:space="preserve">Moru grafit pionowo </v>
      </c>
      <c r="R40" s="86" t="str">
        <f>'Translate&amp;Prices&amp;Logo'!$B$154</f>
        <v xml:space="preserve">Matelac RAL 9003 </v>
      </c>
      <c r="U40" s="86">
        <f>'Translate&amp;Prices&amp;Logo'!$B$159</f>
        <v>0</v>
      </c>
      <c r="V40" s="86">
        <f>'Translate&amp;Prices&amp;Logo'!$B$159</f>
        <v>0</v>
      </c>
      <c r="AA40" t="s">
        <v>566</v>
      </c>
      <c r="AB40" t="s">
        <v>1207</v>
      </c>
      <c r="AC40">
        <v>1</v>
      </c>
      <c r="AD40">
        <v>0</v>
      </c>
    </row>
    <row r="41" spans="1:33">
      <c r="A41" s="86" t="str">
        <f>'Translate&amp;Prices&amp;Logo'!B41</f>
        <v>Verona Inox Acier szczotkowany - maksymalna zalecana zalecana długość profilu 2500 mm</v>
      </c>
      <c r="B41">
        <v>1</v>
      </c>
      <c r="C41" t="s">
        <v>662</v>
      </c>
      <c r="D41">
        <v>0</v>
      </c>
      <c r="Q41" s="86">
        <f>'Translate&amp;Prices&amp;Logo'!$B$142</f>
        <v>0</v>
      </c>
      <c r="R41" s="86" t="str">
        <f>'Translate&amp;Prices&amp;Logo'!$B$155</f>
        <v xml:space="preserve">Matelac RAL 9005 </v>
      </c>
      <c r="U41" s="86" t="str">
        <f>'Translate&amp;Prices&amp;Logo'!$B$160</f>
        <v>Matelac lustro bronz</v>
      </c>
      <c r="V41" s="86" t="str">
        <f>'Translate&amp;Prices&amp;Logo'!$B$160</f>
        <v>Matelac lustro bronz</v>
      </c>
      <c r="AB41" t="s">
        <v>1208</v>
      </c>
      <c r="AC41">
        <v>1</v>
      </c>
      <c r="AD41">
        <v>0</v>
      </c>
    </row>
    <row r="42" spans="1:33">
      <c r="A42" s="86" t="str">
        <f>'Translate&amp;Prices&amp;Logo'!B43</f>
        <v>Vivaro (elox.) - maksymalna zalecana zalecana długość profilu 2500 mm</v>
      </c>
      <c r="B42">
        <v>2</v>
      </c>
      <c r="C42" t="s">
        <v>662</v>
      </c>
      <c r="D42">
        <v>1</v>
      </c>
      <c r="Q42" s="86">
        <f>'Translate&amp;Prices&amp;Logo'!$B$143</f>
        <v>0</v>
      </c>
      <c r="R42" s="86">
        <f>'Translate&amp;Prices&amp;Logo'!$B$156</f>
        <v>0</v>
      </c>
      <c r="U42" s="86" t="str">
        <f>'Translate&amp;Prices&amp;Logo'!$B$162</f>
        <v>Matelac lustro grafit</v>
      </c>
      <c r="V42" s="86" t="str">
        <f>'Translate&amp;Prices&amp;Logo'!$B$162</f>
        <v>Matelac lustro grafit</v>
      </c>
      <c r="AA42" t="s">
        <v>1070</v>
      </c>
      <c r="AB42" t="s">
        <v>1097</v>
      </c>
    </row>
    <row r="43" spans="1:33">
      <c r="A43" s="86" t="str">
        <f>'Translate&amp;Prices&amp;Logo'!B44</f>
        <v>Vivaro czarny matowy - maksymalna zalecana zalecana długość profilu 2500 mm</v>
      </c>
      <c r="B43">
        <v>2</v>
      </c>
      <c r="C43" t="s">
        <v>662</v>
      </c>
      <c r="D43">
        <v>1</v>
      </c>
      <c r="Q43" s="86" t="str">
        <f>'Translate&amp;Prices&amp;Logo'!$B$144</f>
        <v xml:space="preserve">Moru brąz poziomo </v>
      </c>
      <c r="R43" s="86">
        <f>'Translate&amp;Prices&amp;Logo'!$B$157</f>
        <v>0</v>
      </c>
      <c r="U43" s="86" t="str">
        <f>'Translate&amp;Prices&amp;Logo'!$B$163</f>
        <v>Matelac lustro srebrny</v>
      </c>
      <c r="V43" s="86" t="str">
        <f>'Translate&amp;Prices&amp;Logo'!$B$163</f>
        <v>Matelac lustro srebrny</v>
      </c>
      <c r="AA43" t="s">
        <v>1070</v>
      </c>
      <c r="AB43" t="s">
        <v>1217</v>
      </c>
      <c r="AC43">
        <v>0</v>
      </c>
      <c r="AD43">
        <v>0</v>
      </c>
    </row>
    <row r="44" spans="1:33">
      <c r="A44" s="86" t="str">
        <f>'Translate&amp;Prices&amp;Logo'!B45</f>
        <v>Imola złota - maksymalna zalecana zalecana długość profilu 2150 mm</v>
      </c>
      <c r="B44">
        <v>2</v>
      </c>
      <c r="C44" t="s">
        <v>662</v>
      </c>
      <c r="D44">
        <v>0</v>
      </c>
      <c r="Q44" s="86" t="str">
        <f>'Translate&amp;Prices&amp;Logo'!$B$145</f>
        <v xml:space="preserve">Moru grafit poziomo </v>
      </c>
      <c r="R44" s="86">
        <f>'Translate&amp;Prices&amp;Logo'!$B$158</f>
        <v>0</v>
      </c>
      <c r="AA44" t="s">
        <v>1070</v>
      </c>
      <c r="AB44" t="s">
        <v>1071</v>
      </c>
      <c r="AC44">
        <v>1</v>
      </c>
      <c r="AD44">
        <v>0</v>
      </c>
    </row>
    <row r="45" spans="1:33">
      <c r="A45" s="86" t="str">
        <f>'Translate&amp;Prices&amp;Logo'!B46</f>
        <v>Vivaro INOX (stal nierdzewna) - maksymalna zalecana zalecana długość profilu 2500 mm</v>
      </c>
      <c r="B45">
        <v>2</v>
      </c>
      <c r="C45" t="s">
        <v>662</v>
      </c>
      <c r="D45">
        <v>0</v>
      </c>
      <c r="Q45" s="86">
        <f>'Translate&amp;Prices&amp;Logo'!$B$146</f>
        <v>0</v>
      </c>
      <c r="R45" s="86">
        <f>'Translate&amp;Prices&amp;Logo'!$B$159</f>
        <v>0</v>
      </c>
      <c r="AB45" t="s">
        <v>1218</v>
      </c>
      <c r="AC45">
        <v>0</v>
      </c>
      <c r="AD45">
        <v>0</v>
      </c>
    </row>
    <row r="46" spans="1:33">
      <c r="A46" s="86" t="str">
        <f>'Translate&amp;Prices&amp;Logo'!B47</f>
        <v>Vivaro biały matowy RAL 9003 - maksymalna zalecana zalecana długość profilu 2500 mm</v>
      </c>
      <c r="B46">
        <v>2</v>
      </c>
      <c r="C46" t="s">
        <v>662</v>
      </c>
      <c r="D46">
        <v>0</v>
      </c>
      <c r="Q46" s="86">
        <f>'Translate&amp;Prices&amp;Logo'!$B$147</f>
        <v>0</v>
      </c>
      <c r="R46" s="86" t="str">
        <f>'Translate&amp;Prices&amp;Logo'!$B$160</f>
        <v>Matelac lustro bronz</v>
      </c>
    </row>
    <row r="47" spans="1:33">
      <c r="A47" s="86" t="str">
        <f>'Translate&amp;Prices&amp;Logo'!B48</f>
        <v>Vivaro biały połysk RAL 9003 - maksymalna zalecana zalecana długość profilu 2500 mm</v>
      </c>
      <c r="B47">
        <v>2</v>
      </c>
      <c r="C47" t="s">
        <v>662</v>
      </c>
      <c r="D47">
        <v>0</v>
      </c>
      <c r="Q47" s="86">
        <f>'Translate&amp;Prices&amp;Logo'!$B$148</f>
        <v>0</v>
      </c>
      <c r="R47" s="86" t="str">
        <f>'Translate&amp;Prices&amp;Logo'!$B$162</f>
        <v>Matelac lustro grafit</v>
      </c>
    </row>
    <row r="48" spans="1:33">
      <c r="A48" s="86" t="e">
        <f>'Translate&amp;Prices&amp;Logo'!#REF!</f>
        <v>#REF!</v>
      </c>
      <c r="B48">
        <v>1</v>
      </c>
      <c r="C48" t="s">
        <v>1084</v>
      </c>
      <c r="D48">
        <v>0</v>
      </c>
      <c r="Q48" s="86">
        <f>'Translate&amp;Prices&amp;Logo'!$B$149</f>
        <v>0</v>
      </c>
      <c r="R48" s="86" t="str">
        <f>'Translate&amp;Prices&amp;Logo'!$B$163</f>
        <v>Matelac lustro srebrny</v>
      </c>
    </row>
    <row r="49" spans="1:17">
      <c r="A49" s="86">
        <f>'Translate&amp;Prices&amp;Logo'!B77</f>
        <v>0</v>
      </c>
      <c r="B49">
        <v>2</v>
      </c>
      <c r="C49" t="s">
        <v>1084</v>
      </c>
      <c r="D49">
        <v>0</v>
      </c>
      <c r="Q49" s="86">
        <f>'Translate&amp;Prices&amp;Logo'!$B$150</f>
        <v>0</v>
      </c>
    </row>
    <row r="50" spans="1:17">
      <c r="A50" s="86" t="e">
        <f>'Translate&amp;Prices&amp;Logo'!#REF!</f>
        <v>#REF!</v>
      </c>
      <c r="B50">
        <v>1</v>
      </c>
      <c r="C50" t="s">
        <v>1084</v>
      </c>
      <c r="D50">
        <v>0</v>
      </c>
      <c r="Q50" s="86">
        <f>'Translate&amp;Prices&amp;Logo'!$B$151</f>
        <v>0</v>
      </c>
    </row>
    <row r="51" spans="1:17">
      <c r="A51" s="86">
        <f>'Translate&amp;Prices&amp;Logo'!B79</f>
        <v>0</v>
      </c>
      <c r="B51">
        <v>2</v>
      </c>
      <c r="C51" t="s">
        <v>1084</v>
      </c>
      <c r="D51">
        <v>0</v>
      </c>
      <c r="Q51" s="86">
        <f>'Translate&amp;Prices&amp;Logo'!$B$152</f>
        <v>0</v>
      </c>
    </row>
    <row r="52" spans="1:17">
      <c r="A52" s="86">
        <f>'Translate&amp;Prices&amp;Logo'!B83</f>
        <v>0</v>
      </c>
      <c r="B52">
        <v>1</v>
      </c>
      <c r="C52" t="s">
        <v>1084</v>
      </c>
      <c r="D52">
        <v>0</v>
      </c>
      <c r="Q52" s="86">
        <f>'Translate&amp;Prices&amp;Logo'!$B$153</f>
        <v>0</v>
      </c>
    </row>
    <row r="53" spans="1:17">
      <c r="A53" s="86" t="str">
        <f>'Translate&amp;Prices&amp;Logo'!B80</f>
        <v>Rocca elox (lewa i prawa) + Varna elox (góra i dół)</v>
      </c>
      <c r="B53">
        <v>2</v>
      </c>
      <c r="C53" t="s">
        <v>1084</v>
      </c>
      <c r="D53">
        <v>0</v>
      </c>
      <c r="Q53" s="86" t="str">
        <f>'Translate&amp;Prices&amp;Logo'!$B$154</f>
        <v xml:space="preserve">Matelac RAL 9003 </v>
      </c>
    </row>
    <row r="54" spans="1:17">
      <c r="Q54" s="86" t="str">
        <f>'Translate&amp;Prices&amp;Logo'!$B$155</f>
        <v xml:space="preserve">Matelac RAL 9005 </v>
      </c>
    </row>
    <row r="55" spans="1:17">
      <c r="Q55" s="86">
        <f>'Translate&amp;Prices&amp;Logo'!$B$156</f>
        <v>0</v>
      </c>
    </row>
    <row r="56" spans="1:17">
      <c r="Q56" s="86">
        <f>'Translate&amp;Prices&amp;Logo'!$B$157</f>
        <v>0</v>
      </c>
    </row>
    <row r="57" spans="1:17">
      <c r="Q57" s="86">
        <f>'Translate&amp;Prices&amp;Logo'!$B$158</f>
        <v>0</v>
      </c>
    </row>
    <row r="58" spans="1:17">
      <c r="Q58" s="86">
        <f>'Translate&amp;Prices&amp;Logo'!$B$159</f>
        <v>0</v>
      </c>
    </row>
    <row r="59" spans="1:17">
      <c r="Q59" s="86" t="str">
        <f>'Translate&amp;Prices&amp;Logo'!$B$160</f>
        <v>Matelac lustro bronz</v>
      </c>
    </row>
    <row r="60" spans="1:17">
      <c r="Q60" s="86" t="str">
        <f>'Translate&amp;Prices&amp;Logo'!$B$162</f>
        <v>Matelac lustro grafit</v>
      </c>
    </row>
    <row r="61" spans="1:17">
      <c r="Q61" s="86" t="str">
        <f>'Translate&amp;Prices&amp;Logo'!$B$163</f>
        <v>Matelac lustro srebrny</v>
      </c>
    </row>
  </sheetData>
  <mergeCells count="1">
    <mergeCell ref="G23:I29"/>
  </mergeCells>
  <conditionalFormatting sqref="P2:P61 P63:P65536">
    <cfRule type="expression" dxfId="277" priority="35" stopIfTrue="1">
      <formula>AND(COUNTIF($P$63:$P$65536, P2)+COUNTIF($P$2:$P$61, P2)&gt;1,NOT(ISBLANK(P2)))</formula>
    </cfRule>
  </conditionalFormatting>
  <conditionalFormatting sqref="Q2 Q4:Q61 Q63:Q65536">
    <cfRule type="expression" dxfId="276" priority="33" stopIfTrue="1">
      <formula>AND(COUNTIF($Q$2:$Q$2, Q2)+COUNTIF($Q$63:$Q$65536, Q2)+COUNTIF($Q$4:$Q$61, Q2)&gt;1,NOT(ISBLANK(Q2)))</formula>
    </cfRule>
  </conditionalFormatting>
  <conditionalFormatting sqref="R4">
    <cfRule type="duplicateValues" dxfId="275" priority="23"/>
  </conditionalFormatting>
  <conditionalFormatting sqref="R5">
    <cfRule type="duplicateValues" dxfId="274" priority="22"/>
  </conditionalFormatting>
  <conditionalFormatting sqref="R6:R8">
    <cfRule type="duplicateValues" dxfId="273" priority="21"/>
  </conditionalFormatting>
  <conditionalFormatting sqref="R9:R10">
    <cfRule type="duplicateValues" dxfId="272" priority="20"/>
  </conditionalFormatting>
  <conditionalFormatting sqref="R11">
    <cfRule type="duplicateValues" dxfId="271" priority="19"/>
  </conditionalFormatting>
  <conditionalFormatting sqref="R12:R36">
    <cfRule type="duplicateValues" dxfId="270" priority="18"/>
  </conditionalFormatting>
  <conditionalFormatting sqref="R37:R45">
    <cfRule type="duplicateValues" dxfId="269" priority="17"/>
  </conditionalFormatting>
  <conditionalFormatting sqref="R46:R48">
    <cfRule type="duplicateValues" dxfId="268" priority="16"/>
  </conditionalFormatting>
  <conditionalFormatting sqref="R49:R55">
    <cfRule type="duplicateValues" dxfId="267" priority="24"/>
  </conditionalFormatting>
  <conditionalFormatting sqref="R49:R61 R2 R63:R65536">
    <cfRule type="expression" dxfId="266" priority="34" stopIfTrue="1">
      <formula>AND(COUNTIF($R$2:$R$2, R2)+COUNTIF($R$63:$R$65536, R2)+COUNTIF($R$49:$R$61, R2)&gt;1,NOT(ISBLANK(R2)))</formula>
    </cfRule>
  </conditionalFormatting>
  <conditionalFormatting sqref="R56:R57">
    <cfRule type="duplicateValues" dxfId="265" priority="25"/>
  </conditionalFormatting>
  <conditionalFormatting sqref="R58:R61 R63">
    <cfRule type="expression" dxfId="264" priority="36" stopIfTrue="1">
      <formula>AND(COUNTIF($R$63:$R$63, R58)+COUNTIF($R$58:$R$61, R58)&gt;1,NOT(ISBLANK(R58)))</formula>
    </cfRule>
  </conditionalFormatting>
  <conditionalFormatting sqref="S4">
    <cfRule type="duplicateValues" dxfId="263" priority="15"/>
  </conditionalFormatting>
  <conditionalFormatting sqref="S5:S10">
    <cfRule type="duplicateValues" dxfId="262" priority="14"/>
  </conditionalFormatting>
  <conditionalFormatting sqref="S11:S12">
    <cfRule type="duplicateValues" dxfId="261" priority="13"/>
  </conditionalFormatting>
  <conditionalFormatting sqref="S13:S19">
    <cfRule type="duplicateValues" dxfId="260" priority="12"/>
  </conditionalFormatting>
  <conditionalFormatting sqref="S20:S48">
    <cfRule type="duplicateValues" dxfId="259" priority="26"/>
  </conditionalFormatting>
  <conditionalFormatting sqref="T4">
    <cfRule type="duplicateValues" dxfId="258" priority="11"/>
  </conditionalFormatting>
  <conditionalFormatting sqref="T5:T6">
    <cfRule type="duplicateValues" dxfId="257" priority="10"/>
  </conditionalFormatting>
  <conditionalFormatting sqref="T7">
    <cfRule type="duplicateValues" dxfId="256" priority="9"/>
  </conditionalFormatting>
  <conditionalFormatting sqref="U4:U6">
    <cfRule type="duplicateValues" dxfId="255" priority="8"/>
  </conditionalFormatting>
  <conditionalFormatting sqref="U7:U31">
    <cfRule type="duplicateValues" dxfId="254" priority="7"/>
  </conditionalFormatting>
  <conditionalFormatting sqref="U32:U40">
    <cfRule type="duplicateValues" dxfId="253" priority="6"/>
  </conditionalFormatting>
  <conditionalFormatting sqref="U41:U43">
    <cfRule type="duplicateValues" dxfId="252" priority="5"/>
  </conditionalFormatting>
  <conditionalFormatting sqref="V4:V6">
    <cfRule type="duplicateValues" dxfId="251" priority="4"/>
  </conditionalFormatting>
  <conditionalFormatting sqref="V7:V31">
    <cfRule type="duplicateValues" dxfId="250" priority="3"/>
  </conditionalFormatting>
  <conditionalFormatting sqref="V32:V40">
    <cfRule type="duplicateValues" dxfId="249" priority="2"/>
  </conditionalFormatting>
  <conditionalFormatting sqref="V41:V43">
    <cfRule type="duplicateValues" dxfId="248" priority="1"/>
  </conditionalFormatting>
  <conditionalFormatting sqref="AC4:AC9 AC15:AC23 AC29:AC34 AC40:AC41 AC43:AC45">
    <cfRule type="cellIs" dxfId="247" priority="27" operator="equal">
      <formula>1</formula>
    </cfRule>
  </conditionalFormatting>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XEW112"/>
  <sheetViews>
    <sheetView showGridLines="0" showRowColHeaders="0" showZeros="0" topLeftCell="A15" workbookViewId="0">
      <selection activeCell="I17" sqref="I17:N17"/>
    </sheetView>
  </sheetViews>
  <sheetFormatPr defaultColWidth="0" defaultRowHeight="14.85" customHeight="1" zeroHeight="1"/>
  <cols>
    <col min="1" max="1" width="3.7109375" style="1" customWidth="1"/>
    <col min="2" max="2" width="4.42578125" style="1" customWidth="1"/>
    <col min="3" max="3" width="18.85546875" style="1" customWidth="1"/>
    <col min="4" max="4" width="4.85546875" style="1" customWidth="1"/>
    <col min="5" max="7" width="7.7109375" style="1" customWidth="1"/>
    <col min="8" max="8" width="5.42578125" style="1" customWidth="1"/>
    <col min="9" max="11" width="7.7109375" style="1" customWidth="1"/>
    <col min="12" max="12" width="5.140625" style="1" customWidth="1"/>
    <col min="13" max="15" width="7.7109375" style="1" customWidth="1"/>
    <col min="16" max="18" width="2.5703125" style="1" customWidth="1"/>
    <col min="19" max="21" width="5.42578125" style="1" customWidth="1"/>
    <col min="22" max="22" width="3.42578125" style="1" customWidth="1"/>
    <col min="23" max="26" width="5.42578125" style="1" customWidth="1"/>
    <col min="27" max="27" width="6" style="1" customWidth="1"/>
    <col min="28" max="28" width="5.7109375" style="1" customWidth="1"/>
    <col min="29" max="29" width="5.42578125" style="1" customWidth="1"/>
    <col min="30" max="30" width="5.42578125" style="20" customWidth="1"/>
    <col min="31" max="31" width="5.42578125" style="18" customWidth="1"/>
    <col min="32" max="35" width="5.42578125" style="1" customWidth="1"/>
    <col min="36" max="36" width="5.5703125" style="1" customWidth="1"/>
    <col min="37" max="37" width="3.42578125" style="1" customWidth="1"/>
    <col min="38" max="38" width="14.85546875" style="1" customWidth="1"/>
    <col min="39" max="39" width="6.140625" style="1" customWidth="1"/>
    <col min="40" max="40" width="3.85546875" style="1" customWidth="1"/>
    <col min="41" max="41" width="7.7109375" style="1" hidden="1"/>
    <col min="42" max="42" width="10.28515625" style="11" hidden="1"/>
    <col min="43" max="43" width="11.7109375" style="11" hidden="1"/>
    <col min="44" max="46" width="7.7109375" style="11" hidden="1"/>
    <col min="47" max="48" width="7.7109375" style="353" hidden="1"/>
    <col min="49" max="53" width="7.7109375" style="11" hidden="1"/>
    <col min="54" max="54" width="14.42578125" style="11" hidden="1"/>
    <col min="55" max="57" width="7.7109375" style="11" hidden="1"/>
    <col min="58" max="58" width="10.5703125" style="11" hidden="1"/>
    <col min="59" max="60" width="7.7109375" style="11" hidden="1"/>
    <col min="61" max="61" width="9.42578125" style="11" hidden="1"/>
    <col min="62" max="62" width="8.5703125" style="11" hidden="1"/>
    <col min="63" max="63" width="7.7109375" style="11" hidden="1"/>
    <col min="64" max="65" width="9.7109375" style="11" hidden="1"/>
    <col min="66" max="66" width="18.28515625" style="11" hidden="1"/>
    <col min="67" max="71" width="13.28515625" style="11" hidden="1"/>
    <col min="72" max="72" width="9.5703125" style="11" hidden="1"/>
    <col min="73" max="74" width="10.28515625" style="11" hidden="1"/>
    <col min="75" max="75" width="13.28515625" style="11" hidden="1"/>
    <col min="76" max="76" width="11.5703125" style="11" hidden="1"/>
    <col min="77" max="16376" width="7.7109375" style="11" hidden="1"/>
    <col min="16377" max="16377" width="0" style="11" hidden="1"/>
    <col min="16378" max="16384" width="7.7109375" style="11" hidden="1"/>
  </cols>
  <sheetData>
    <row r="1" spans="1:74" ht="8.85" customHeight="1">
      <c r="A1" s="81"/>
      <c r="B1" s="81"/>
      <c r="C1" s="81"/>
      <c r="D1" s="81"/>
      <c r="E1" s="81"/>
      <c r="F1" s="81"/>
      <c r="G1" s="81"/>
      <c r="H1" s="81"/>
      <c r="I1" s="81"/>
      <c r="J1" s="81"/>
      <c r="K1" s="81"/>
      <c r="L1" s="81"/>
      <c r="M1" s="81"/>
      <c r="N1" s="81"/>
      <c r="O1" s="81"/>
      <c r="P1" s="81"/>
      <c r="Q1" s="81"/>
      <c r="R1" s="81"/>
      <c r="S1" s="81"/>
      <c r="T1" s="81"/>
      <c r="U1" s="81"/>
    </row>
    <row r="2" spans="1:74" ht="11.85" customHeight="1">
      <c r="A2" s="82"/>
      <c r="B2" s="82"/>
      <c r="C2" s="82"/>
      <c r="D2" s="82"/>
      <c r="E2" s="82"/>
      <c r="F2" s="82"/>
      <c r="G2" s="82"/>
      <c r="H2" s="82"/>
      <c r="I2" s="82"/>
      <c r="J2" s="82"/>
      <c r="K2" s="82"/>
      <c r="L2" s="82"/>
      <c r="M2" s="82"/>
      <c r="N2" s="82"/>
      <c r="O2" s="82"/>
      <c r="P2" s="822" t="str">
        <f>'Translate&amp;Prices&amp;Logo'!$B$278</f>
        <v>Ramki przesuwne</v>
      </c>
      <c r="Q2" s="822"/>
      <c r="R2" s="822"/>
      <c r="S2" s="822"/>
      <c r="T2" s="822"/>
      <c r="U2" s="822"/>
      <c r="V2" s="822"/>
      <c r="W2" s="822"/>
      <c r="X2" s="822"/>
      <c r="Y2" s="822"/>
      <c r="Z2" s="822"/>
      <c r="AA2" s="822"/>
      <c r="AB2" s="822"/>
      <c r="AC2" s="27"/>
      <c r="AD2" s="28"/>
      <c r="AE2" s="29"/>
      <c r="AF2" s="27"/>
      <c r="AG2" s="27"/>
      <c r="AH2" s="27"/>
      <c r="AI2" s="323"/>
      <c r="AJ2" s="818" t="str">
        <f>'Translate&amp;Prices&amp;Logo'!$B$540</f>
        <v>Wprowadzenie</v>
      </c>
      <c r="AK2" s="819"/>
      <c r="AL2" s="819"/>
      <c r="AM2" s="819"/>
      <c r="AN2" s="819"/>
    </row>
    <row r="3" spans="1:74" ht="11.85" customHeight="1">
      <c r="A3" s="82"/>
      <c r="B3" s="82"/>
      <c r="C3" s="82"/>
      <c r="D3" s="82"/>
      <c r="E3" s="82"/>
      <c r="F3" s="82"/>
      <c r="G3" s="82"/>
      <c r="H3" s="82"/>
      <c r="I3" s="82"/>
      <c r="J3" s="82"/>
      <c r="K3" s="82"/>
      <c r="L3" s="82"/>
      <c r="M3" s="82"/>
      <c r="N3" s="82"/>
      <c r="O3" s="82"/>
      <c r="P3" s="822"/>
      <c r="Q3" s="822"/>
      <c r="R3" s="822"/>
      <c r="S3" s="822"/>
      <c r="T3" s="822"/>
      <c r="U3" s="822"/>
      <c r="V3" s="822"/>
      <c r="W3" s="822"/>
      <c r="X3" s="822"/>
      <c r="Y3" s="822"/>
      <c r="Z3" s="822"/>
      <c r="AA3" s="822"/>
      <c r="AB3" s="822"/>
      <c r="AC3" s="27"/>
      <c r="AD3" s="28"/>
      <c r="AE3" s="29"/>
      <c r="AF3" s="27"/>
      <c r="AG3" s="27"/>
      <c r="AH3" s="27"/>
      <c r="AI3" s="323"/>
      <c r="AJ3" s="818"/>
      <c r="AK3" s="819"/>
      <c r="AL3" s="819"/>
      <c r="AM3" s="819"/>
      <c r="AN3" s="819"/>
    </row>
    <row r="4" spans="1:74" ht="11.45" customHeight="1">
      <c r="A4" s="81"/>
      <c r="B4" s="81"/>
      <c r="C4" s="81"/>
      <c r="D4" s="81"/>
      <c r="E4" s="81"/>
      <c r="F4" s="81"/>
      <c r="G4" s="81"/>
      <c r="P4" s="823"/>
      <c r="Q4" s="823"/>
      <c r="R4" s="823"/>
      <c r="S4" s="823"/>
      <c r="T4" s="823"/>
      <c r="U4" s="823"/>
      <c r="V4" s="823"/>
      <c r="W4" s="823"/>
      <c r="X4" s="823"/>
      <c r="Y4" s="823"/>
      <c r="Z4" s="823"/>
      <c r="AA4" s="823"/>
      <c r="AB4" s="823"/>
      <c r="AC4" s="823"/>
    </row>
    <row r="5" spans="1:74" ht="15" hidden="1" customHeight="1">
      <c r="A5" s="81"/>
      <c r="B5" s="81"/>
      <c r="C5" s="81"/>
      <c r="D5" s="81"/>
      <c r="E5" s="81"/>
      <c r="F5" s="81"/>
      <c r="G5" s="81"/>
      <c r="P5" s="823"/>
      <c r="Q5" s="823"/>
      <c r="R5" s="823"/>
      <c r="S5" s="823"/>
      <c r="T5" s="823"/>
      <c r="U5" s="823"/>
      <c r="V5" s="823"/>
      <c r="W5" s="823"/>
      <c r="X5" s="823"/>
      <c r="Y5" s="823"/>
      <c r="Z5" s="823"/>
      <c r="AA5" s="823"/>
      <c r="AB5" s="823"/>
      <c r="AC5" s="823"/>
    </row>
    <row r="7" spans="1:74" ht="14.85" customHeight="1">
      <c r="S7" s="820" t="str">
        <f>'Translate&amp;Prices&amp;Logo'!$B$275</f>
        <v>Standardowe prześwity drzwi</v>
      </c>
      <c r="T7" s="820"/>
      <c r="U7" s="820"/>
      <c r="V7" s="820"/>
      <c r="W7" s="820"/>
      <c r="X7" s="820"/>
      <c r="Y7" s="820"/>
      <c r="Z7" s="820"/>
      <c r="AA7" s="820"/>
      <c r="AB7" s="820"/>
      <c r="AC7" s="820"/>
    </row>
    <row r="8" spans="1:74" ht="7.35" customHeight="1"/>
    <row r="9" spans="1:74" ht="15">
      <c r="C9" s="791" t="str">
        <f>'Translate&amp;Prices&amp;Logo'!$B$249</f>
        <v>Klient</v>
      </c>
      <c r="D9" s="791"/>
      <c r="E9" s="791"/>
      <c r="F9" s="791"/>
      <c r="G9" s="791"/>
      <c r="H9" s="348"/>
      <c r="I9" s="560"/>
      <c r="J9" s="560"/>
      <c r="K9" s="560"/>
      <c r="L9" s="560"/>
      <c r="M9" s="560"/>
      <c r="N9" s="560"/>
      <c r="S9" s="789" t="s">
        <v>27</v>
      </c>
      <c r="T9" s="789"/>
      <c r="U9" s="79"/>
      <c r="V9" s="790">
        <v>20</v>
      </c>
      <c r="W9" s="790"/>
      <c r="Y9" s="789" t="s">
        <v>380</v>
      </c>
      <c r="Z9" s="789"/>
      <c r="AA9" s="79"/>
      <c r="AB9" s="790" t="s">
        <v>148</v>
      </c>
      <c r="AC9" s="790"/>
    </row>
    <row r="10" spans="1:74" ht="6.6" customHeight="1">
      <c r="C10" s="109"/>
      <c r="D10" s="109"/>
      <c r="E10" s="109"/>
      <c r="F10" s="109"/>
      <c r="G10" s="109"/>
    </row>
    <row r="11" spans="1:74" ht="15">
      <c r="C11" s="791" t="str">
        <f>'Translate&amp;Prices&amp;Logo'!$B$253</f>
        <v>NIP</v>
      </c>
      <c r="D11" s="791"/>
      <c r="E11" s="791"/>
      <c r="F11" s="791"/>
      <c r="G11" s="791"/>
      <c r="H11" s="348"/>
      <c r="I11" s="560"/>
      <c r="J11" s="560"/>
      <c r="K11" s="560"/>
      <c r="L11" s="560"/>
      <c r="M11" s="560"/>
      <c r="N11" s="560"/>
      <c r="S11" s="789" t="s">
        <v>379</v>
      </c>
      <c r="T11" s="789"/>
      <c r="U11" s="79"/>
      <c r="V11" s="790">
        <v>20</v>
      </c>
      <c r="W11" s="790"/>
      <c r="Y11" s="789" t="s">
        <v>4399</v>
      </c>
      <c r="Z11" s="789"/>
      <c r="AA11" s="79"/>
      <c r="AB11" s="790">
        <v>28</v>
      </c>
      <c r="AC11" s="790"/>
      <c r="BP11" s="65"/>
      <c r="BQ11" s="362"/>
      <c r="BR11" s="362"/>
      <c r="BS11" s="362"/>
      <c r="BT11" s="362"/>
      <c r="BU11" s="362"/>
      <c r="BV11" s="362"/>
    </row>
    <row r="12" spans="1:74" ht="6.6" customHeight="1">
      <c r="C12" s="109"/>
      <c r="D12" s="109"/>
      <c r="E12" s="109"/>
      <c r="F12" s="109"/>
      <c r="G12" s="109"/>
    </row>
    <row r="13" spans="1:74" ht="15">
      <c r="C13" s="791" t="str">
        <f>'Translate&amp;Prices&amp;Logo'!$B$250</f>
        <v>Telefon kontaktowy</v>
      </c>
      <c r="D13" s="791"/>
      <c r="E13" s="791"/>
      <c r="F13" s="791"/>
      <c r="G13" s="791"/>
      <c r="H13" s="348"/>
      <c r="I13" s="560"/>
      <c r="J13" s="560"/>
      <c r="K13" s="560"/>
      <c r="L13" s="560"/>
      <c r="M13" s="560"/>
      <c r="N13" s="560"/>
      <c r="S13" s="789" t="s">
        <v>4398</v>
      </c>
      <c r="T13" s="789"/>
      <c r="U13" s="79"/>
      <c r="V13" s="790">
        <v>28</v>
      </c>
      <c r="W13" s="790"/>
      <c r="Y13" s="789" t="s">
        <v>382</v>
      </c>
      <c r="Z13" s="789"/>
      <c r="AA13" s="79"/>
      <c r="AB13" s="790">
        <v>40</v>
      </c>
      <c r="AC13" s="790"/>
      <c r="AQ13" s="320" t="b">
        <v>0</v>
      </c>
      <c r="BP13" s="65"/>
      <c r="BQ13" s="362"/>
      <c r="BR13" s="362"/>
      <c r="BS13" s="362"/>
      <c r="BT13" s="65"/>
      <c r="BU13" s="65"/>
      <c r="BV13" s="65"/>
    </row>
    <row r="14" spans="1:74" ht="6.6" customHeight="1">
      <c r="C14" s="109"/>
      <c r="D14" s="109"/>
      <c r="E14" s="109"/>
      <c r="F14" s="109"/>
      <c r="G14" s="109"/>
    </row>
    <row r="15" spans="1:74" ht="15">
      <c r="C15" s="791" t="str">
        <f>'Translate&amp;Prices&amp;Logo'!$B$254</f>
        <v>Rabat na ramki</v>
      </c>
      <c r="D15" s="791"/>
      <c r="E15" s="791"/>
      <c r="F15" s="791"/>
      <c r="G15" s="791"/>
      <c r="H15" s="348"/>
      <c r="I15" s="560"/>
      <c r="J15" s="560"/>
      <c r="K15" s="560"/>
      <c r="L15" s="560"/>
      <c r="M15" s="560"/>
      <c r="N15" s="560"/>
      <c r="S15" s="789" t="s">
        <v>378</v>
      </c>
      <c r="T15" s="789"/>
      <c r="U15" s="79"/>
      <c r="V15" s="790">
        <v>45</v>
      </c>
      <c r="W15" s="790"/>
      <c r="Y15" s="789" t="s">
        <v>381</v>
      </c>
      <c r="Z15" s="789"/>
      <c r="AA15" s="79"/>
      <c r="AB15" s="790">
        <v>40</v>
      </c>
      <c r="AC15" s="790"/>
    </row>
    <row r="16" spans="1:74" ht="6.6" customHeight="1">
      <c r="C16" s="109"/>
      <c r="D16" s="109"/>
      <c r="E16" s="109"/>
      <c r="F16" s="109"/>
      <c r="G16" s="109"/>
      <c r="I16" s="11"/>
      <c r="J16" s="11"/>
      <c r="K16" s="11"/>
      <c r="L16" s="11"/>
      <c r="M16" s="11"/>
      <c r="N16" s="11"/>
    </row>
    <row r="17" spans="1:96" ht="15">
      <c r="C17" s="788" t="str">
        <f>IF(Hlavní!V39=3,"Dostawa","")</f>
        <v>Dostawa</v>
      </c>
      <c r="D17" s="788"/>
      <c r="E17" s="788"/>
      <c r="F17" s="788"/>
      <c r="G17" s="788"/>
      <c r="H17" s="67"/>
      <c r="I17" s="787"/>
      <c r="J17" s="787"/>
      <c r="K17" s="787"/>
      <c r="L17" s="787"/>
      <c r="M17" s="787"/>
      <c r="N17" s="787"/>
      <c r="S17" s="789" t="s">
        <v>385</v>
      </c>
      <c r="T17" s="789"/>
      <c r="U17" s="79"/>
      <c r="V17" s="790">
        <v>20</v>
      </c>
      <c r="W17" s="790"/>
      <c r="Y17" s="789" t="s">
        <v>386</v>
      </c>
      <c r="Z17" s="789"/>
      <c r="AA17" s="79"/>
      <c r="AB17" s="790">
        <v>40</v>
      </c>
      <c r="AC17" s="790"/>
    </row>
    <row r="18" spans="1:96" ht="33.75" customHeight="1">
      <c r="C18" s="795" t="str">
        <f>IF(I17="Dostawa na adres","W przypadku wyboru DOSTAWA NA ADRES do zamówienia zostanie automatycznie doliczona opłata transportowa","")</f>
        <v/>
      </c>
      <c r="D18" s="795"/>
      <c r="E18" s="795"/>
      <c r="F18" s="795"/>
      <c r="G18" s="795"/>
      <c r="H18" s="795"/>
      <c r="I18" s="795"/>
      <c r="J18" s="795"/>
      <c r="K18" s="796" t="str">
        <f>IF(I17="Dostawa na adres","Cennik transportu - kliknij tutaj","")</f>
        <v/>
      </c>
      <c r="L18" s="796"/>
      <c r="M18" s="796"/>
      <c r="N18" s="796"/>
      <c r="BP18" s="529"/>
      <c r="BQ18" s="1"/>
      <c r="BR18" s="1"/>
      <c r="BS18" s="1"/>
      <c r="BT18" s="1"/>
      <c r="BU18" s="1"/>
      <c r="BV18" s="1"/>
    </row>
    <row r="19" spans="1:96" ht="14.85" customHeight="1">
      <c r="C19" s="788" t="str">
        <f>IF(Hlavní!V39=3,"Adres","")</f>
        <v>Adres</v>
      </c>
      <c r="D19" s="788"/>
      <c r="E19" s="788"/>
      <c r="F19" s="788"/>
      <c r="G19" s="788"/>
      <c r="H19" s="67"/>
      <c r="I19" s="787"/>
      <c r="J19" s="787"/>
      <c r="K19" s="787"/>
      <c r="L19" s="787"/>
      <c r="M19" s="787"/>
      <c r="N19" s="787"/>
      <c r="BP19" s="530"/>
      <c r="BQ19" s="1"/>
      <c r="BR19" s="1"/>
      <c r="BS19" s="1"/>
      <c r="BT19" s="1"/>
      <c r="BU19" s="1"/>
      <c r="BV19" s="1"/>
    </row>
    <row r="20" spans="1:96" s="354" customFormat="1" ht="11.45" customHeight="1">
      <c r="A20" s="67"/>
      <c r="B20" s="67"/>
      <c r="C20" s="1"/>
      <c r="D20" s="1"/>
      <c r="E20" s="1"/>
      <c r="F20" s="1"/>
      <c r="G20" s="1"/>
      <c r="H20" s="1"/>
      <c r="I20" s="787"/>
      <c r="J20" s="787"/>
      <c r="K20" s="787"/>
      <c r="L20" s="787"/>
      <c r="M20" s="787"/>
      <c r="N20" s="787"/>
      <c r="O20" s="67"/>
      <c r="P20" s="67"/>
      <c r="Q20" s="67"/>
      <c r="R20" s="153"/>
      <c r="S20" s="105"/>
      <c r="T20" s="105"/>
      <c r="U20" s="67"/>
      <c r="V20" s="106"/>
      <c r="W20" s="106"/>
      <c r="X20" s="67"/>
      <c r="Y20" s="67"/>
      <c r="Z20" s="67"/>
      <c r="AA20" s="67"/>
      <c r="AB20" s="67"/>
      <c r="AC20" s="67"/>
      <c r="AD20" s="107"/>
      <c r="AE20" s="108"/>
      <c r="AF20" s="67"/>
      <c r="AG20" s="67"/>
      <c r="AH20" s="67"/>
      <c r="AI20" s="67"/>
      <c r="AJ20" s="67"/>
      <c r="AK20" s="67"/>
      <c r="AL20" s="67"/>
      <c r="AM20" s="67"/>
      <c r="AN20" s="67"/>
      <c r="AO20" s="67"/>
      <c r="AU20" s="355"/>
      <c r="AV20" s="353"/>
      <c r="AW20" s="11"/>
      <c r="AX20" s="11"/>
      <c r="AY20" s="11"/>
      <c r="AZ20" s="11"/>
      <c r="BA20" s="11"/>
      <c r="BB20" s="11"/>
      <c r="BC20" s="11"/>
      <c r="BD20" s="11"/>
      <c r="BE20" s="11"/>
      <c r="BF20" s="11"/>
      <c r="BG20" s="11"/>
      <c r="BH20" s="11"/>
      <c r="BI20" s="11"/>
      <c r="BJ20" s="11"/>
      <c r="BK20" s="11"/>
      <c r="BL20" s="11"/>
      <c r="BM20" s="11"/>
      <c r="BN20" s="11"/>
      <c r="BO20" s="11"/>
      <c r="BP20" s="65"/>
      <c r="BQ20" s="362"/>
      <c r="BR20" s="362"/>
      <c r="BS20" s="362"/>
      <c r="BT20" s="362"/>
      <c r="BU20" s="362"/>
      <c r="BV20" s="362"/>
      <c r="BW20" s="11"/>
      <c r="BX20" s="11"/>
      <c r="BY20" s="11"/>
      <c r="BZ20" s="11"/>
      <c r="CA20" s="11"/>
      <c r="CB20" s="11"/>
      <c r="CC20" s="11"/>
      <c r="CD20" s="11"/>
      <c r="CE20" s="11"/>
      <c r="CF20" s="11"/>
      <c r="CG20" s="11"/>
      <c r="CH20" s="11"/>
      <c r="CI20" s="11"/>
      <c r="CJ20" s="11"/>
      <c r="CK20" s="11"/>
      <c r="CL20" s="11"/>
      <c r="CM20" s="11"/>
      <c r="CN20" s="11"/>
      <c r="CO20" s="11"/>
      <c r="CP20" s="11"/>
      <c r="CQ20" s="11"/>
      <c r="CR20" s="11"/>
    </row>
    <row r="21" spans="1:96" ht="14.85" customHeight="1">
      <c r="I21" s="787"/>
      <c r="J21" s="787"/>
      <c r="K21" s="787"/>
      <c r="L21" s="787"/>
      <c r="M21" s="787"/>
      <c r="N21" s="787"/>
      <c r="R21" s="152"/>
      <c r="BP21" s="1"/>
      <c r="BQ21" s="414"/>
      <c r="BR21" s="414"/>
      <c r="BS21" s="414"/>
      <c r="BT21" s="414"/>
      <c r="BU21" s="414"/>
      <c r="BV21" s="414"/>
    </row>
    <row r="22" spans="1:96" ht="14.85" customHeight="1">
      <c r="R22" s="152"/>
      <c r="S22" s="821" t="str">
        <f>'Translate&amp;Prices&amp;Logo'!$B$225</f>
        <v>Dostarczyć łącznie z podanymi okuciami meblowymi</v>
      </c>
      <c r="T22" s="821"/>
      <c r="U22" s="821"/>
      <c r="V22" s="821"/>
      <c r="W22" s="821"/>
      <c r="X22" s="821"/>
      <c r="Y22" s="821"/>
      <c r="Z22" s="821"/>
      <c r="AA22" s="821"/>
      <c r="AB22" s="821"/>
      <c r="AC22" s="817" t="str">
        <f>'Translate&amp;Prices&amp;Logo'!$B$326</f>
        <v>Ilość (szt)</v>
      </c>
      <c r="AD22" s="817"/>
      <c r="AE22" s="817"/>
      <c r="AF22" s="67"/>
      <c r="AG22" s="817" t="str">
        <f>'Translate&amp;Prices&amp;Logo'!$B$325</f>
        <v>Inne wymagania (szt)</v>
      </c>
      <c r="AH22" s="817"/>
      <c r="AI22" s="817"/>
      <c r="AJ22" s="817"/>
      <c r="AL22" s="817" t="str">
        <f>'Translate&amp;Prices&amp;Logo'!$B$692</f>
        <v>Suma</v>
      </c>
      <c r="AM22" s="817"/>
      <c r="AN22" s="321"/>
      <c r="AO22" s="321"/>
      <c r="AQ22" s="356" t="s">
        <v>115</v>
      </c>
      <c r="AR22" s="356" t="s">
        <v>116</v>
      </c>
      <c r="AS22" s="356" t="s">
        <v>76</v>
      </c>
      <c r="AT22" s="356" t="s">
        <v>77</v>
      </c>
      <c r="BP22" s="467"/>
      <c r="BQ22" s="356"/>
      <c r="BR22" s="414"/>
      <c r="BS22" s="414"/>
      <c r="BT22" s="1"/>
      <c r="BU22" s="1"/>
      <c r="BV22" s="1"/>
    </row>
    <row r="23" spans="1:96" ht="6" customHeight="1" thickBot="1">
      <c r="R23" s="65">
        <f>IF(AQ13=TRUE,1,0)</f>
        <v>0</v>
      </c>
      <c r="AQ23" s="356"/>
      <c r="AR23" s="356"/>
      <c r="AS23" s="356"/>
      <c r="AT23" s="356"/>
    </row>
    <row r="24" spans="1:96" ht="14.85" customHeight="1">
      <c r="E24" s="797" t="str">
        <f>"1."&amp;" "&amp;'Translate&amp;Prices&amp;Logo'!$B$169</f>
        <v>1. Ramka</v>
      </c>
      <c r="F24" s="798"/>
      <c r="G24" s="799"/>
      <c r="H24" s="65"/>
      <c r="I24" s="797" t="str">
        <f>"2."&amp;" "&amp;'Translate&amp;Prices&amp;Logo'!$B$169</f>
        <v>2. Ramka</v>
      </c>
      <c r="J24" s="798"/>
      <c r="K24" s="799"/>
      <c r="L24" s="65"/>
      <c r="M24" s="797" t="str">
        <f>"3."&amp;" "&amp;'Translate&amp;Prices&amp;Logo'!$B$169</f>
        <v>3. Ramka</v>
      </c>
      <c r="N24" s="798"/>
      <c r="O24" s="799"/>
      <c r="R24" s="152"/>
      <c r="S24" s="800" t="str">
        <f>'Translate&amp;Prices&amp;Logo'!$B$317</f>
        <v>Komplet okuć do wąskiej ramki H27AL (88630)</v>
      </c>
      <c r="T24" s="800"/>
      <c r="U24" s="800"/>
      <c r="V24" s="800"/>
      <c r="W24" s="800"/>
      <c r="X24" s="800"/>
      <c r="Y24" s="800"/>
      <c r="Z24" s="800"/>
      <c r="AA24" s="800"/>
      <c r="AB24" s="79"/>
      <c r="AC24" s="801">
        <f>IFERROR(IF(O44&gt;=1,IF(R23=1,IF(AK25&gt;=1,AG24,O44),0),0),0)</f>
        <v>0</v>
      </c>
      <c r="AD24" s="801"/>
      <c r="AE24" s="801"/>
      <c r="AF24" s="298" t="s">
        <v>1337</v>
      </c>
      <c r="AG24" s="792"/>
      <c r="AH24" s="792"/>
      <c r="AI24" s="792"/>
      <c r="AJ24" s="792"/>
      <c r="AK24" s="79"/>
      <c r="AL24" s="322">
        <f>AC24*AP24*(1-$I$15/100)</f>
        <v>0</v>
      </c>
      <c r="AM24" s="318" t="str">
        <f>VLOOKUP('Translate&amp;Prices&amp;Logo'!$D$1,kombinace_1!$EV$1:$EW$6,2,0)</f>
        <v>zl</v>
      </c>
      <c r="AP24" s="357">
        <f>IF('Translate&amp;Prices&amp;Logo'!$D$1=1,AQ24,
IF(OR('Translate&amp;Prices&amp;Logo'!$D$1=2,'Translate&amp;Prices&amp;Logo'!$D$1=5,'Translate&amp;Prices&amp;Logo'!$D$1=6),AR24,
IF('Translate&amp;Prices&amp;Logo'!$D$1=3,AS24,AT24)))</f>
        <v>78.362129999999993</v>
      </c>
      <c r="AQ24" s="358">
        <v>423.69600000000003</v>
      </c>
      <c r="AR24" s="359">
        <v>17.30472</v>
      </c>
      <c r="AS24" s="359">
        <v>78.362129999999993</v>
      </c>
      <c r="AT24" s="359">
        <v>7346.3419400000002</v>
      </c>
      <c r="AU24" s="11">
        <v>88630</v>
      </c>
      <c r="AY24" s="1"/>
      <c r="AZ24" s="1"/>
      <c r="BA24" s="1"/>
      <c r="BB24" s="1"/>
      <c r="BC24" s="1"/>
      <c r="BD24" s="1"/>
      <c r="BE24" s="19"/>
      <c r="BF24" s="19"/>
      <c r="BG24" s="1"/>
      <c r="BH24" s="1"/>
      <c r="BI24" s="1"/>
      <c r="BJ24" s="1"/>
      <c r="BK24" s="1"/>
      <c r="BL24" s="1"/>
      <c r="BN24" s="471"/>
      <c r="BO24" s="1"/>
    </row>
    <row r="25" spans="1:96" ht="14.85" customHeight="1">
      <c r="E25" s="296"/>
      <c r="F25" s="65"/>
      <c r="G25" s="297"/>
      <c r="H25" s="65"/>
      <c r="I25" s="296"/>
      <c r="J25" s="65"/>
      <c r="K25" s="297"/>
      <c r="L25" s="65"/>
      <c r="M25" s="296"/>
      <c r="N25" s="65"/>
      <c r="O25" s="297"/>
      <c r="R25" s="152"/>
      <c r="S25" s="109"/>
      <c r="T25" s="109"/>
      <c r="U25" s="109"/>
      <c r="V25" s="109"/>
      <c r="W25" s="109"/>
      <c r="X25" s="109"/>
      <c r="Y25" s="109"/>
      <c r="Z25" s="109"/>
      <c r="AA25" s="109"/>
      <c r="AC25" s="65"/>
      <c r="AD25" s="65"/>
      <c r="AE25" s="65"/>
      <c r="AF25" s="65"/>
      <c r="AG25" s="65"/>
      <c r="AH25" s="65"/>
      <c r="AI25" s="65"/>
      <c r="AJ25" s="65"/>
      <c r="AK25" s="66">
        <f>AG24</f>
        <v>0</v>
      </c>
      <c r="AP25" s="360"/>
      <c r="AQ25" s="356"/>
      <c r="AR25" s="356"/>
      <c r="AS25" s="356"/>
      <c r="AT25" s="356"/>
      <c r="AU25" s="11"/>
      <c r="BE25" s="19"/>
      <c r="BG25" s="1"/>
      <c r="BH25" s="1"/>
      <c r="BI25" s="1"/>
      <c r="BJ25" s="1"/>
      <c r="BK25" s="1"/>
      <c r="BL25" s="1"/>
      <c r="BM25" s="1"/>
      <c r="BN25" s="471"/>
      <c r="BO25" s="1"/>
      <c r="BY25" s="19"/>
      <c r="BZ25" s="19"/>
      <c r="CA25" s="19"/>
    </row>
    <row r="26" spans="1:96" ht="14.85" customHeight="1">
      <c r="B26" s="776" t="str">
        <f>'Translate&amp;Prices&amp;Logo'!$B$176</f>
        <v>Wysokość</v>
      </c>
      <c r="C26" s="776"/>
      <c r="D26" s="351"/>
      <c r="E26" s="806"/>
      <c r="F26" s="792"/>
      <c r="G26" s="807"/>
      <c r="H26" s="349"/>
      <c r="I26" s="806"/>
      <c r="J26" s="792"/>
      <c r="K26" s="807"/>
      <c r="L26" s="349"/>
      <c r="M26" s="806"/>
      <c r="N26" s="792"/>
      <c r="O26" s="807"/>
      <c r="R26" s="152"/>
      <c r="S26" s="800" t="str">
        <f>'Translate&amp;Prices&amp;Logo'!$B$318</f>
        <v>Komplet okuć do szerokiej ramki H37AL (88631)</v>
      </c>
      <c r="T26" s="800"/>
      <c r="U26" s="800"/>
      <c r="V26" s="800"/>
      <c r="W26" s="800"/>
      <c r="X26" s="800"/>
      <c r="Y26" s="800"/>
      <c r="Z26" s="800"/>
      <c r="AA26" s="800"/>
      <c r="AB26" s="79"/>
      <c r="AC26" s="801">
        <f>IFERROR(IF(O43&gt;=1,IF(R23=1,IF(AK27&gt;=1,AG26,O43),0),0),0)</f>
        <v>0</v>
      </c>
      <c r="AD26" s="801"/>
      <c r="AE26" s="801"/>
      <c r="AF26" s="298" t="s">
        <v>1337</v>
      </c>
      <c r="AG26" s="792"/>
      <c r="AH26" s="792"/>
      <c r="AI26" s="792"/>
      <c r="AJ26" s="792"/>
      <c r="AK26" s="79"/>
      <c r="AL26" s="322">
        <f>AC26*AP26*(1-$I$15/100)</f>
        <v>0</v>
      </c>
      <c r="AM26" s="318" t="str">
        <f>VLOOKUP('Translate&amp;Prices&amp;Logo'!$D$1,kombinace_1!$EV$1:$EW$6,2,0)</f>
        <v>zl</v>
      </c>
      <c r="AP26" s="357">
        <f>IF('Translate&amp;Prices&amp;Logo'!$D$1=1,AQ26,
IF(OR('Translate&amp;Prices&amp;Logo'!$D$1=2,'Translate&amp;Prices&amp;Logo'!$D$1=5,'Translate&amp;Prices&amp;Logo'!$D$1=6),AR26,
IF('Translate&amp;Prices&amp;Logo'!$D$1=3,AS26,AT26)))</f>
        <v>82.132149999999996</v>
      </c>
      <c r="AQ26" s="358">
        <v>444.08</v>
      </c>
      <c r="AR26" s="359">
        <v>18.137250000000002</v>
      </c>
      <c r="AS26" s="359">
        <v>82.132149999999996</v>
      </c>
      <c r="AT26" s="359">
        <v>7699.7741900000001</v>
      </c>
      <c r="AU26" s="11">
        <v>88631</v>
      </c>
      <c r="AZ26" s="1"/>
      <c r="BA26" s="1"/>
      <c r="BB26" s="1"/>
      <c r="BC26" s="1"/>
      <c r="BD26" s="1"/>
      <c r="BE26" s="19"/>
      <c r="BG26" s="1"/>
      <c r="BI26" s="1"/>
      <c r="BJ26" s="1"/>
      <c r="BK26" s="1"/>
      <c r="BL26" s="1"/>
      <c r="BM26" s="1"/>
      <c r="BN26" s="1"/>
      <c r="BO26" s="1"/>
      <c r="BP26" s="1"/>
      <c r="BQ26" s="1"/>
      <c r="BR26" s="1"/>
      <c r="BS26" s="1"/>
      <c r="BT26" s="1"/>
      <c r="BU26" s="1"/>
      <c r="BV26" s="1"/>
      <c r="BY26" s="19"/>
      <c r="BZ26" s="19"/>
      <c r="CA26" s="502"/>
    </row>
    <row r="27" spans="1:96" ht="14.85" customHeight="1">
      <c r="B27" s="24"/>
      <c r="C27" s="24"/>
      <c r="D27" s="350"/>
      <c r="E27" s="296">
        <v>900</v>
      </c>
      <c r="F27" s="65"/>
      <c r="G27" s="297"/>
      <c r="H27" s="65"/>
      <c r="I27" s="296"/>
      <c r="J27" s="65"/>
      <c r="K27" s="297"/>
      <c r="L27" s="65"/>
      <c r="M27" s="296"/>
      <c r="N27" s="65"/>
      <c r="O27" s="297"/>
      <c r="S27" s="109"/>
      <c r="T27" s="109"/>
      <c r="U27" s="109"/>
      <c r="V27" s="109"/>
      <c r="W27" s="109"/>
      <c r="X27" s="109"/>
      <c r="Y27" s="109"/>
      <c r="Z27" s="109"/>
      <c r="AA27" s="109"/>
      <c r="AC27" s="65"/>
      <c r="AD27" s="65"/>
      <c r="AE27" s="65"/>
      <c r="AF27" s="65"/>
      <c r="AG27" s="65"/>
      <c r="AH27" s="65"/>
      <c r="AI27" s="65"/>
      <c r="AJ27" s="65"/>
      <c r="AK27" s="66">
        <f>AG26</f>
        <v>0</v>
      </c>
      <c r="AP27" s="360"/>
      <c r="AU27" s="11"/>
      <c r="AZ27" s="1"/>
      <c r="BA27" s="1"/>
      <c r="BB27" s="1"/>
      <c r="BC27" s="1"/>
      <c r="BD27" s="1"/>
      <c r="BE27" s="19"/>
      <c r="BG27" s="1"/>
      <c r="BI27" s="1"/>
      <c r="BJ27" s="1"/>
      <c r="BK27" s="1"/>
      <c r="BL27" s="1"/>
      <c r="BM27" s="1"/>
      <c r="BN27" s="1"/>
      <c r="BO27" s="1"/>
      <c r="BP27" s="1"/>
      <c r="BQ27" s="1"/>
      <c r="BR27" s="1"/>
      <c r="BS27" s="1"/>
      <c r="BT27" s="1"/>
      <c r="BU27" s="1"/>
      <c r="BV27" s="1"/>
      <c r="BY27" s="19"/>
      <c r="BZ27" s="19"/>
      <c r="CA27" s="502"/>
    </row>
    <row r="28" spans="1:96" ht="14.85" customHeight="1">
      <c r="B28" s="776" t="str">
        <f>'Translate&amp;Prices&amp;Logo'!$B$175</f>
        <v>Szerokość</v>
      </c>
      <c r="C28" s="776"/>
      <c r="D28" s="351"/>
      <c r="E28" s="806"/>
      <c r="F28" s="792"/>
      <c r="G28" s="807"/>
      <c r="H28" s="349"/>
      <c r="I28" s="806"/>
      <c r="J28" s="792"/>
      <c r="K28" s="807"/>
      <c r="L28" s="349"/>
      <c r="M28" s="806"/>
      <c r="N28" s="792"/>
      <c r="O28" s="807"/>
      <c r="S28" s="800" t="str">
        <f>'Translate&amp;Prices&amp;Logo'!$B$321</f>
        <v>Prowadzenie górne długość 2 m (87313)</v>
      </c>
      <c r="T28" s="800"/>
      <c r="U28" s="800"/>
      <c r="V28" s="800"/>
      <c r="W28" s="800"/>
      <c r="X28" s="800"/>
      <c r="Y28" s="800"/>
      <c r="Z28" s="800"/>
      <c r="AA28" s="800"/>
      <c r="AB28" s="79"/>
      <c r="AC28" s="801">
        <f>IF(AG28&gt;0,AG28,AK29)</f>
        <v>0</v>
      </c>
      <c r="AD28" s="801"/>
      <c r="AE28" s="801"/>
      <c r="AF28" s="298" t="s">
        <v>1337</v>
      </c>
      <c r="AG28" s="792"/>
      <c r="AH28" s="792"/>
      <c r="AI28" s="792"/>
      <c r="AJ28" s="792"/>
      <c r="AK28" s="79"/>
      <c r="AL28" s="322">
        <f>AC28*AP28*(1-$I$15/100)</f>
        <v>0</v>
      </c>
      <c r="AM28" s="318" t="str">
        <f>VLOOKUP('Translate&amp;Prices&amp;Logo'!$D$1,kombinace_1!$EV$1:$EW$6,2,0)</f>
        <v>zl</v>
      </c>
      <c r="AP28" s="357">
        <f>IF('Translate&amp;Prices&amp;Logo'!$D$1=1,AQ28,
IF(OR('Translate&amp;Prices&amp;Logo'!$D$1=2,'Translate&amp;Prices&amp;Logo'!$D$1=5,'Translate&amp;Prices&amp;Logo'!$D$1=6),AR28,
IF('Translate&amp;Prices&amp;Logo'!$D$1=3,AS28,AT28)))</f>
        <v>92.683340000000001</v>
      </c>
      <c r="AQ28" s="358">
        <v>279.55200000000002</v>
      </c>
      <c r="AR28" s="359">
        <v>17.28059</v>
      </c>
      <c r="AS28" s="359">
        <v>92.683340000000001</v>
      </c>
      <c r="AT28" s="359">
        <v>3381.6774300000002</v>
      </c>
      <c r="AU28" s="11">
        <v>87313</v>
      </c>
      <c r="AZ28" s="1"/>
      <c r="BA28" s="1"/>
      <c r="BB28" s="1"/>
      <c r="BC28" s="1"/>
      <c r="BD28" s="19"/>
      <c r="BE28" s="19"/>
      <c r="BG28" s="1"/>
      <c r="BI28" s="1"/>
      <c r="BJ28" s="1"/>
      <c r="BK28" s="1"/>
      <c r="BL28" s="1"/>
      <c r="BM28" s="1"/>
      <c r="BN28" s="1"/>
      <c r="BO28" s="1"/>
      <c r="BP28" s="1"/>
      <c r="BQ28" s="1"/>
      <c r="BR28" s="1"/>
      <c r="BS28" s="1"/>
      <c r="BT28" s="1"/>
      <c r="BU28" s="1"/>
      <c r="BV28" s="1"/>
      <c r="BY28" s="19"/>
      <c r="BZ28" s="19"/>
      <c r="CA28" s="502"/>
    </row>
    <row r="29" spans="1:96" ht="14.85" customHeight="1">
      <c r="B29" s="24"/>
      <c r="C29" s="24"/>
      <c r="D29" s="350"/>
      <c r="E29" s="296"/>
      <c r="F29" s="65"/>
      <c r="G29" s="297"/>
      <c r="H29" s="65"/>
      <c r="I29" s="296"/>
      <c r="J29" s="65"/>
      <c r="K29" s="297"/>
      <c r="L29" s="65"/>
      <c r="M29" s="296"/>
      <c r="N29" s="65"/>
      <c r="O29" s="297"/>
      <c r="S29" s="109"/>
      <c r="T29" s="109"/>
      <c r="U29" s="109"/>
      <c r="V29" s="109"/>
      <c r="W29" s="109"/>
      <c r="X29" s="109"/>
      <c r="Y29" s="109"/>
      <c r="Z29" s="109"/>
      <c r="AA29" s="109"/>
      <c r="AC29" s="65"/>
      <c r="AD29" s="65"/>
      <c r="AE29" s="65"/>
      <c r="AF29" s="65"/>
      <c r="AG29" s="65"/>
      <c r="AH29" s="65"/>
      <c r="AI29" s="65"/>
      <c r="AJ29" s="65"/>
      <c r="AK29" s="66">
        <f>SUM(AC45,AE45)</f>
        <v>0</v>
      </c>
      <c r="AP29" s="360"/>
      <c r="AQ29" s="358"/>
      <c r="AR29" s="359"/>
      <c r="AS29" s="359"/>
      <c r="AT29" s="359"/>
      <c r="AU29" s="11"/>
      <c r="AZ29" s="1"/>
      <c r="BA29" s="1"/>
      <c r="BB29" s="471"/>
      <c r="BC29" s="1"/>
      <c r="BD29" s="1"/>
      <c r="BE29" s="19"/>
      <c r="BF29" s="19"/>
      <c r="BG29" s="1"/>
      <c r="BH29" s="1"/>
      <c r="BI29" s="1"/>
      <c r="BJ29" s="1"/>
      <c r="BK29" s="1"/>
      <c r="BL29" s="1"/>
      <c r="BN29" s="1"/>
      <c r="BO29" s="1"/>
      <c r="BP29" s="1"/>
      <c r="BQ29" s="1"/>
      <c r="BR29" s="1"/>
      <c r="BS29" s="1"/>
      <c r="BU29" s="1"/>
    </row>
    <row r="30" spans="1:96" ht="15">
      <c r="B30" s="776" t="str">
        <f>'Translate&amp;Prices&amp;Logo'!$B$174</f>
        <v>Ilość sztuk</v>
      </c>
      <c r="C30" s="776"/>
      <c r="D30" s="351"/>
      <c r="E30" s="806"/>
      <c r="F30" s="792"/>
      <c r="G30" s="807"/>
      <c r="H30" s="349"/>
      <c r="I30" s="806"/>
      <c r="J30" s="792"/>
      <c r="K30" s="807"/>
      <c r="L30" s="349"/>
      <c r="M30" s="806"/>
      <c r="N30" s="792"/>
      <c r="O30" s="807"/>
      <c r="S30" s="800" t="str">
        <f>'Translate&amp;Prices&amp;Logo'!$B$322</f>
        <v>Prowadzenie dolne długość 2 m (87315)</v>
      </c>
      <c r="T30" s="800"/>
      <c r="U30" s="800"/>
      <c r="V30" s="800"/>
      <c r="W30" s="800"/>
      <c r="X30" s="800"/>
      <c r="Y30" s="800"/>
      <c r="Z30" s="800"/>
      <c r="AA30" s="800"/>
      <c r="AB30" s="79"/>
      <c r="AC30" s="801">
        <f>IF(AG30&gt;0,AG30,AK31)</f>
        <v>0</v>
      </c>
      <c r="AD30" s="801"/>
      <c r="AE30" s="801"/>
      <c r="AF30" s="298" t="s">
        <v>1337</v>
      </c>
      <c r="AG30" s="792"/>
      <c r="AH30" s="792"/>
      <c r="AI30" s="792"/>
      <c r="AJ30" s="792"/>
      <c r="AK30" s="79"/>
      <c r="AL30" s="322">
        <f>AC30*AP30*(1-$I$15/100)</f>
        <v>0</v>
      </c>
      <c r="AM30" s="318" t="str">
        <f>VLOOKUP('Translate&amp;Prices&amp;Logo'!$D$1,kombinace_1!$EV$1:$EW$6,2,0)</f>
        <v>zl</v>
      </c>
      <c r="AP30" s="357">
        <f>IF('Translate&amp;Prices&amp;Logo'!$D$1=1,AQ30,
IF(OR('Translate&amp;Prices&amp;Logo'!$D$1=2,'Translate&amp;Prices&amp;Logo'!$D$1=5,'Translate&amp;Prices&amp;Logo'!$D$1=6),AR30,
IF('Translate&amp;Prices&amp;Logo'!$D$1=3,AS30,AT30)))</f>
        <v>27.304449999999999</v>
      </c>
      <c r="AQ30" s="358">
        <v>142.92941999999999</v>
      </c>
      <c r="AR30" s="359">
        <v>5.4532600000000002</v>
      </c>
      <c r="AS30" s="359">
        <v>27.304449999999999</v>
      </c>
      <c r="AT30" s="359">
        <v>2631.0918900000001</v>
      </c>
      <c r="AU30" s="11">
        <v>87315</v>
      </c>
      <c r="AZ30" s="1"/>
      <c r="BA30" s="1"/>
      <c r="BB30" s="471"/>
      <c r="BC30" s="1"/>
      <c r="BD30" s="1"/>
      <c r="BE30" s="19"/>
      <c r="BF30" s="19"/>
      <c r="BG30" s="1"/>
      <c r="BH30" s="1"/>
      <c r="BI30" s="1"/>
      <c r="BJ30" s="1"/>
      <c r="BK30" s="1"/>
      <c r="BL30" s="1"/>
      <c r="BM30" s="1"/>
      <c r="BN30" s="1"/>
      <c r="BO30" s="1"/>
      <c r="BP30" s="1"/>
      <c r="BQ30" s="1"/>
      <c r="BR30" s="1"/>
      <c r="BS30" s="1"/>
      <c r="BT30" s="496"/>
      <c r="BU30" s="496"/>
      <c r="BV30" s="496"/>
    </row>
    <row r="31" spans="1:96" ht="14.85" customHeight="1">
      <c r="B31" s="24"/>
      <c r="C31" s="24"/>
      <c r="D31" s="350"/>
      <c r="E31" s="296"/>
      <c r="F31" s="65"/>
      <c r="G31" s="297"/>
      <c r="H31" s="65"/>
      <c r="I31" s="296"/>
      <c r="J31" s="65"/>
      <c r="K31" s="297"/>
      <c r="L31" s="65"/>
      <c r="M31" s="296"/>
      <c r="N31" s="65"/>
      <c r="O31" s="297"/>
      <c r="S31" s="109"/>
      <c r="T31" s="109"/>
      <c r="U31" s="109"/>
      <c r="V31" s="109"/>
      <c r="W31" s="109"/>
      <c r="X31" s="109"/>
      <c r="Y31" s="109"/>
      <c r="Z31" s="109"/>
      <c r="AA31" s="109"/>
      <c r="AC31" s="65"/>
      <c r="AD31" s="65">
        <v>0</v>
      </c>
      <c r="AE31" s="65"/>
      <c r="AF31" s="65"/>
      <c r="AG31" s="65"/>
      <c r="AH31" s="65"/>
      <c r="AI31" s="65"/>
      <c r="AJ31" s="65"/>
      <c r="AK31" s="66">
        <f>SUM(AC45,AE45)</f>
        <v>0</v>
      </c>
      <c r="AP31" s="360"/>
      <c r="AU31" s="11"/>
      <c r="AY31" s="1"/>
      <c r="AZ31" s="1"/>
      <c r="BA31" s="1"/>
      <c r="BB31" s="1"/>
      <c r="BC31" s="1"/>
      <c r="BD31" s="1"/>
      <c r="BE31" s="19"/>
      <c r="BF31" s="19"/>
      <c r="BG31" s="1"/>
      <c r="BH31" s="1"/>
      <c r="BI31" s="1"/>
      <c r="BJ31" s="1"/>
      <c r="BK31" s="1"/>
      <c r="BL31" s="1"/>
      <c r="BM31" s="1"/>
      <c r="BN31" s="1"/>
      <c r="BO31" s="534"/>
      <c r="BP31" s="1"/>
      <c r="BQ31" s="1"/>
      <c r="BR31" s="1"/>
      <c r="BS31" s="1"/>
      <c r="BT31" s="1"/>
    </row>
    <row r="32" spans="1:96" ht="14.85" customHeight="1">
      <c r="B32" s="776" t="str">
        <f>'Translate&amp;Prices&amp;Logo'!$B$177</f>
        <v>Uwagi (notatki)</v>
      </c>
      <c r="C32" s="776"/>
      <c r="D32" s="351"/>
      <c r="E32" s="804"/>
      <c r="F32" s="560"/>
      <c r="G32" s="805"/>
      <c r="H32" s="349"/>
      <c r="I32" s="804"/>
      <c r="J32" s="560"/>
      <c r="K32" s="805"/>
      <c r="L32" s="349"/>
      <c r="M32" s="804"/>
      <c r="N32" s="560"/>
      <c r="O32" s="805"/>
      <c r="S32" s="800" t="str">
        <f>'Translate&amp;Prices&amp;Logo'!$B$323</f>
        <v>Prowadzenie górne długość 3 m (87312)</v>
      </c>
      <c r="T32" s="800"/>
      <c r="U32" s="800"/>
      <c r="V32" s="800"/>
      <c r="W32" s="800"/>
      <c r="X32" s="800"/>
      <c r="Y32" s="800"/>
      <c r="Z32" s="800"/>
      <c r="AA32" s="800"/>
      <c r="AB32" s="79"/>
      <c r="AC32" s="801">
        <f>IF(AG32&gt;0,AG32,AK33)</f>
        <v>0</v>
      </c>
      <c r="AD32" s="801"/>
      <c r="AE32" s="801"/>
      <c r="AF32" s="298" t="s">
        <v>1337</v>
      </c>
      <c r="AG32" s="792"/>
      <c r="AH32" s="792"/>
      <c r="AI32" s="792"/>
      <c r="AJ32" s="792"/>
      <c r="AK32" s="79"/>
      <c r="AL32" s="322">
        <f>AC32*AP32*(1-$I$15/100)</f>
        <v>0</v>
      </c>
      <c r="AM32" s="318" t="str">
        <f>VLOOKUP('Translate&amp;Prices&amp;Logo'!$D$1,kombinace_1!$EV$1:$EW$6,2,0)</f>
        <v>zl</v>
      </c>
      <c r="AP32" s="357">
        <f>IF('Translate&amp;Prices&amp;Logo'!$D$1=1,AQ32,
IF(OR('Translate&amp;Prices&amp;Logo'!$D$1=2,'Translate&amp;Prices&amp;Logo'!$D$1=5,'Translate&amp;Prices&amp;Logo'!$D$1=6),AR32,
IF('Translate&amp;Prices&amp;Logo'!$D$1=3,AS32,AT32)))</f>
        <v>139.24695</v>
      </c>
      <c r="AQ32" s="358">
        <v>419.32799999999997</v>
      </c>
      <c r="AR32" s="359">
        <v>25.920940000000002</v>
      </c>
      <c r="AS32" s="359">
        <v>139.24695</v>
      </c>
      <c r="AT32" s="359">
        <v>5072.51613</v>
      </c>
      <c r="AU32" s="11">
        <v>87312</v>
      </c>
      <c r="AY32" s="1"/>
      <c r="AZ32" s="1"/>
      <c r="BA32" s="1"/>
      <c r="BB32" s="1"/>
      <c r="BC32" s="1"/>
      <c r="BD32" s="1"/>
      <c r="BE32" s="19"/>
      <c r="BF32" s="19"/>
      <c r="BG32" s="1"/>
      <c r="BH32" s="1"/>
      <c r="BI32" s="1"/>
      <c r="BJ32" s="1"/>
      <c r="BK32" s="1"/>
      <c r="BL32" s="1"/>
      <c r="BM32" s="1"/>
      <c r="BN32" s="1"/>
      <c r="BO32" s="534"/>
      <c r="BP32" s="1"/>
      <c r="BQ32" s="1"/>
      <c r="BR32" s="1"/>
      <c r="BS32" s="1"/>
      <c r="BT32" s="1"/>
    </row>
    <row r="33" spans="2:74" ht="14.85" customHeight="1">
      <c r="B33" s="24"/>
      <c r="C33" s="24"/>
      <c r="D33" s="350"/>
      <c r="E33" s="806"/>
      <c r="F33" s="792"/>
      <c r="G33" s="807"/>
      <c r="H33" s="65"/>
      <c r="I33" s="806"/>
      <c r="J33" s="792"/>
      <c r="K33" s="807"/>
      <c r="L33" s="65"/>
      <c r="M33" s="806"/>
      <c r="N33" s="792"/>
      <c r="O33" s="807"/>
      <c r="S33" s="109"/>
      <c r="T33" s="109"/>
      <c r="U33" s="109"/>
      <c r="V33" s="109"/>
      <c r="W33" s="109"/>
      <c r="X33" s="109"/>
      <c r="Y33" s="109"/>
      <c r="Z33" s="109"/>
      <c r="AA33" s="109"/>
      <c r="AC33" s="65"/>
      <c r="AD33" s="65"/>
      <c r="AE33" s="65"/>
      <c r="AF33" s="65"/>
      <c r="AG33" s="65"/>
      <c r="AH33" s="65"/>
      <c r="AI33" s="65"/>
      <c r="AJ33" s="65"/>
      <c r="AK33" s="66">
        <f>SUM(AD45,AF45)</f>
        <v>0</v>
      </c>
      <c r="AQ33" s="356"/>
      <c r="AR33" s="356"/>
      <c r="AS33" s="356"/>
      <c r="AT33" s="356"/>
      <c r="AU33" s="11"/>
      <c r="AY33" s="1"/>
      <c r="AZ33" s="1"/>
      <c r="BA33" s="1"/>
      <c r="BC33" s="1"/>
      <c r="BD33" s="1"/>
      <c r="BE33" s="19"/>
      <c r="BF33" s="1"/>
      <c r="BG33" s="1"/>
      <c r="BH33" s="1"/>
      <c r="BI33" s="1"/>
      <c r="BJ33" s="1"/>
      <c r="BK33" s="1"/>
      <c r="BL33" s="1"/>
      <c r="BM33" s="1"/>
      <c r="BN33" s="1"/>
      <c r="BO33" s="534"/>
      <c r="BP33" s="1"/>
      <c r="BQ33" s="1"/>
      <c r="BR33" s="1"/>
      <c r="BS33" s="1"/>
      <c r="BT33" s="1"/>
    </row>
    <row r="34" spans="2:74" ht="14.85" customHeight="1">
      <c r="B34" s="24"/>
      <c r="C34" s="24"/>
      <c r="D34" s="350"/>
      <c r="E34" s="296"/>
      <c r="F34" s="65"/>
      <c r="G34" s="297"/>
      <c r="H34" s="65"/>
      <c r="I34" s="296"/>
      <c r="J34" s="65"/>
      <c r="K34" s="297"/>
      <c r="L34" s="65"/>
      <c r="M34" s="296"/>
      <c r="N34" s="65"/>
      <c r="O34" s="297"/>
      <c r="S34" s="800" t="str">
        <f>'Translate&amp;Prices&amp;Logo'!$B$324</f>
        <v>Prowadzenie dolne długość 3 m (87314)</v>
      </c>
      <c r="T34" s="800"/>
      <c r="U34" s="800"/>
      <c r="V34" s="800"/>
      <c r="W34" s="800"/>
      <c r="X34" s="800"/>
      <c r="Y34" s="800"/>
      <c r="Z34" s="800"/>
      <c r="AA34" s="800"/>
      <c r="AB34" s="79"/>
      <c r="AC34" s="801">
        <f>IF(AG34&gt;0,AG34,AK35)</f>
        <v>0</v>
      </c>
      <c r="AD34" s="801"/>
      <c r="AE34" s="801"/>
      <c r="AF34" s="298" t="s">
        <v>1337</v>
      </c>
      <c r="AG34" s="792"/>
      <c r="AH34" s="792"/>
      <c r="AI34" s="792"/>
      <c r="AJ34" s="792"/>
      <c r="AK34" s="79"/>
      <c r="AL34" s="322">
        <f>AC34*AP34*(1-$I$15/100)</f>
        <v>0</v>
      </c>
      <c r="AM34" s="318" t="str">
        <f>VLOOKUP('Translate&amp;Prices&amp;Logo'!$D$1,kombinace_1!$EV$1:$EW$6,2,0)</f>
        <v>zl</v>
      </c>
      <c r="AP34" s="357">
        <f>IF('Translate&amp;Prices&amp;Logo'!$D$1=1,AQ34,
IF(OR('Translate&amp;Prices&amp;Logo'!$D$1=2,'Translate&amp;Prices&amp;Logo'!$D$1=5,'Translate&amp;Prices&amp;Logo'!$D$1=6),AR34,
IF('Translate&amp;Prices&amp;Logo'!$D$1=3,AS34,AT34)))</f>
        <v>40.95628</v>
      </c>
      <c r="AQ34" s="358">
        <v>214.39205000000001</v>
      </c>
      <c r="AR34" s="359">
        <v>8.1798099999999998</v>
      </c>
      <c r="AS34" s="359">
        <v>40.95628</v>
      </c>
      <c r="AT34" s="359">
        <v>3946.5994300000002</v>
      </c>
      <c r="AU34" s="11">
        <v>87314</v>
      </c>
      <c r="AY34" s="1"/>
      <c r="AZ34" s="1"/>
      <c r="BA34" s="1"/>
      <c r="BB34" s="1"/>
      <c r="BC34" s="1"/>
      <c r="BD34" s="1"/>
      <c r="BE34" s="19"/>
      <c r="BF34" s="19"/>
      <c r="BG34" s="1"/>
      <c r="BH34" s="1"/>
      <c r="BI34" s="1"/>
      <c r="BJ34" s="1"/>
      <c r="BK34" s="1"/>
      <c r="BL34" s="1"/>
      <c r="BM34" s="1"/>
      <c r="BN34" s="1"/>
      <c r="BO34" s="534"/>
      <c r="BP34" s="1"/>
      <c r="BT34" s="1"/>
    </row>
    <row r="35" spans="2:74" ht="14.85" customHeight="1">
      <c r="B35" s="776" t="str">
        <f>'Translate&amp;Prices&amp;Logo'!$B$172</f>
        <v>Rodzaj profilu</v>
      </c>
      <c r="C35" s="776"/>
      <c r="D35" s="351"/>
      <c r="E35" s="809"/>
      <c r="F35" s="810"/>
      <c r="G35" s="811"/>
      <c r="H35" s="349"/>
      <c r="I35" s="809"/>
      <c r="J35" s="810"/>
      <c r="K35" s="811"/>
      <c r="L35" s="349"/>
      <c r="M35" s="809"/>
      <c r="N35" s="810"/>
      <c r="O35" s="811"/>
      <c r="AD35" s="1"/>
      <c r="AE35" s="1"/>
      <c r="AK35" s="66">
        <f>SUM(AD45,AF45)</f>
        <v>0</v>
      </c>
      <c r="AQ35" s="356"/>
      <c r="AR35" s="356"/>
      <c r="AS35" s="356"/>
      <c r="AT35" s="356"/>
      <c r="AY35" s="1"/>
      <c r="AZ35" s="1"/>
      <c r="BA35" s="1"/>
      <c r="BB35" s="1"/>
      <c r="BC35" s="1"/>
      <c r="BD35" s="1"/>
      <c r="BE35" s="19"/>
      <c r="BF35" s="19"/>
      <c r="BG35" s="1"/>
      <c r="BH35" s="1"/>
      <c r="BI35" s="1"/>
      <c r="BJ35" s="1"/>
      <c r="BK35" s="1"/>
      <c r="BL35" s="1"/>
      <c r="BM35" s="1"/>
      <c r="BN35" s="1"/>
      <c r="BO35" s="534"/>
      <c r="BP35" s="1"/>
      <c r="BQ35" s="1"/>
      <c r="BR35" s="1"/>
      <c r="BS35" s="1"/>
      <c r="BT35" s="1"/>
    </row>
    <row r="36" spans="2:74" ht="28.9" customHeight="1">
      <c r="B36" s="24"/>
      <c r="C36" s="24"/>
      <c r="D36" s="350"/>
      <c r="E36" s="809"/>
      <c r="F36" s="810"/>
      <c r="G36" s="811"/>
      <c r="H36" s="65"/>
      <c r="I36" s="809"/>
      <c r="J36" s="810"/>
      <c r="K36" s="811"/>
      <c r="L36" s="65"/>
      <c r="M36" s="809"/>
      <c r="N36" s="810"/>
      <c r="O36" s="811"/>
      <c r="AD36" s="1"/>
      <c r="AE36" s="1"/>
      <c r="AK36" s="66"/>
      <c r="AY36" s="1"/>
      <c r="AZ36" s="1"/>
      <c r="BA36" s="1"/>
      <c r="BB36" s="1"/>
      <c r="BC36" s="1"/>
      <c r="BD36" s="1"/>
      <c r="BE36" s="19"/>
      <c r="BF36" s="19"/>
      <c r="BG36" s="1"/>
      <c r="BH36" s="1"/>
      <c r="BI36" s="1"/>
      <c r="BJ36" s="1"/>
      <c r="BK36" s="1"/>
      <c r="BL36" s="1"/>
      <c r="BM36" s="1"/>
      <c r="BN36" s="1"/>
      <c r="BO36" s="534"/>
      <c r="BP36" s="1"/>
      <c r="BQ36" s="1"/>
      <c r="BR36" s="1"/>
      <c r="BS36" s="1"/>
      <c r="BT36" s="1"/>
    </row>
    <row r="37" spans="2:74" ht="14.85" customHeight="1">
      <c r="B37" s="24"/>
      <c r="C37" s="24"/>
      <c r="D37" s="350"/>
      <c r="E37" s="809"/>
      <c r="F37" s="810"/>
      <c r="G37" s="811"/>
      <c r="H37" s="65"/>
      <c r="I37" s="809"/>
      <c r="J37" s="810"/>
      <c r="K37" s="811"/>
      <c r="L37" s="65"/>
      <c r="M37" s="809"/>
      <c r="N37" s="810"/>
      <c r="O37" s="811"/>
      <c r="S37" s="793" t="str">
        <f>IF(AND(Hlavní!V39=3,I17="Dostawa na adres"),"Koszt transportu","")</f>
        <v/>
      </c>
      <c r="T37" s="793"/>
      <c r="U37" s="793"/>
      <c r="V37" s="66"/>
      <c r="W37" s="794" t="b">
        <f>IF(AND(Hlavní!V39=3,I17="Dostawa na adres"),IF('Doprava Posun'!AH29=1,'Doprava Posun'!Z62,IF('Doprava Posun'!AH29=2,'Doprava Posun'!W109,'kalkulace dopravy'!X2)))</f>
        <v>0</v>
      </c>
      <c r="X37" s="794"/>
      <c r="Y37" s="794"/>
      <c r="Z37" s="794"/>
      <c r="AA37" s="362" t="str">
        <f>VLOOKUP('Translate&amp;Prices&amp;Logo'!$D$1,kombinace_1!$EV$1:$EW$5,2,0)</f>
        <v>zl</v>
      </c>
      <c r="AC37" s="319" t="str">
        <f>'Translate&amp;Prices&amp;Logo'!$B$693</f>
        <v>Cena okuć</v>
      </c>
      <c r="AD37" s="319"/>
      <c r="AE37" s="319"/>
      <c r="AF37" s="319"/>
      <c r="AG37" s="319"/>
      <c r="AH37" s="319"/>
      <c r="AI37" s="319"/>
      <c r="AJ37" s="319"/>
      <c r="AK37" s="79"/>
      <c r="AL37" s="322">
        <f>SUM(AL24,AL26,AL28,AL30,AL32,AL34)</f>
        <v>0</v>
      </c>
      <c r="AM37" s="318" t="str">
        <f>VLOOKUP('Translate&amp;Prices&amp;Logo'!$D$1,kombinace_1!$EV$1:$EW$6,2,0)</f>
        <v>zl</v>
      </c>
      <c r="AP37" s="11">
        <f>IF(OR($W$37='kalkulace dopravy'!$X$2,$W$37='kalkulace dopravy'!$X$3,$W$37='kalkulace dopravy'!$X$4),1,2)</f>
        <v>2</v>
      </c>
      <c r="AY37" s="1"/>
      <c r="AZ37" s="1"/>
      <c r="BA37" s="1"/>
      <c r="BB37" s="1"/>
      <c r="BC37" s="1"/>
      <c r="BD37" s="1"/>
      <c r="BE37" s="19"/>
      <c r="BF37" s="19"/>
      <c r="BG37" s="1"/>
      <c r="BH37" s="1"/>
      <c r="BI37" s="1"/>
      <c r="BJ37" s="1"/>
      <c r="BK37" s="1"/>
      <c r="BL37" s="1"/>
      <c r="BM37" s="1"/>
      <c r="BN37" s="1"/>
      <c r="BO37" s="534"/>
      <c r="BP37" s="1"/>
      <c r="BQ37" s="496"/>
      <c r="BR37" s="496"/>
      <c r="BS37" s="496"/>
      <c r="BT37" s="1"/>
    </row>
    <row r="38" spans="2:74" ht="14.85" customHeight="1">
      <c r="B38" s="24"/>
      <c r="C38" s="24"/>
      <c r="D38" s="350"/>
      <c r="E38" s="296"/>
      <c r="F38" s="65"/>
      <c r="G38" s="297"/>
      <c r="H38" s="65"/>
      <c r="I38" s="296"/>
      <c r="J38" s="65"/>
      <c r="K38" s="297"/>
      <c r="L38" s="65"/>
      <c r="M38" s="296"/>
      <c r="N38" s="65"/>
      <c r="O38" s="297"/>
      <c r="AD38" s="1"/>
      <c r="AY38" s="1"/>
      <c r="AZ38" s="1"/>
      <c r="BA38" s="1"/>
      <c r="BB38" s="1"/>
      <c r="BC38" s="1"/>
      <c r="BD38" s="1"/>
      <c r="BE38" s="19"/>
      <c r="BF38" s="19"/>
      <c r="BG38" s="1"/>
      <c r="BH38" s="1"/>
      <c r="BI38" s="1"/>
      <c r="BJ38" s="1"/>
      <c r="BK38" s="1"/>
      <c r="BL38" s="1"/>
      <c r="BM38" s="1"/>
      <c r="BN38" s="1"/>
      <c r="BO38" s="535"/>
      <c r="BP38" s="1"/>
      <c r="BQ38" s="1"/>
      <c r="BR38" s="1"/>
      <c r="BS38" s="1"/>
      <c r="BT38" s="1"/>
    </row>
    <row r="39" spans="2:74" ht="14.85" customHeight="1">
      <c r="B39" s="776" t="str">
        <f>'Translate&amp;Prices&amp;Logo'!$B$625</f>
        <v>Rodzaj szkła/siatka</v>
      </c>
      <c r="C39" s="776"/>
      <c r="D39" s="351"/>
      <c r="E39" s="809"/>
      <c r="F39" s="810"/>
      <c r="G39" s="811"/>
      <c r="H39" s="349"/>
      <c r="I39" s="809"/>
      <c r="J39" s="810"/>
      <c r="K39" s="811"/>
      <c r="L39" s="349"/>
      <c r="M39" s="809"/>
      <c r="N39" s="810"/>
      <c r="O39" s="811"/>
      <c r="S39" s="808">
        <f>IF(ISTEXT(W37)=TRUE,VLOOKUP(W37,'kalkulace dopravy'!X2:Y4,2,0),0)</f>
        <v>0</v>
      </c>
      <c r="T39" s="808"/>
      <c r="U39" s="808"/>
      <c r="V39" s="808"/>
      <c r="W39" s="808"/>
      <c r="X39" s="808"/>
      <c r="Y39" s="808"/>
      <c r="Z39" s="808"/>
      <c r="AA39" s="808"/>
      <c r="AC39" s="802" t="str">
        <f>'Translate&amp;Prices&amp;Logo'!$B$180</f>
        <v>Cena za kompletne zamówienie</v>
      </c>
      <c r="AD39" s="802"/>
      <c r="AE39" s="802"/>
      <c r="AF39" s="802"/>
      <c r="AG39" s="802"/>
      <c r="AH39" s="802"/>
      <c r="AI39" s="802"/>
      <c r="AJ39" s="803"/>
      <c r="AK39" s="79"/>
      <c r="AL39" s="322">
        <f>IF(AQ13=TRUE,SUM(E48,I48,M48,AL37,W37),SUM(E48,I48,M48,W37))</f>
        <v>0</v>
      </c>
      <c r="AM39" s="326" t="str">
        <f>VLOOKUP('Translate&amp;Prices&amp;Logo'!D1,kombinace_1!$EV$1:$EW$6,2,0)</f>
        <v>zl</v>
      </c>
      <c r="AY39" s="1"/>
      <c r="AZ39" s="1"/>
      <c r="BA39" s="1"/>
      <c r="BB39" s="1"/>
      <c r="BC39" s="1"/>
      <c r="BD39" s="1"/>
      <c r="BE39" s="19"/>
      <c r="BF39" s="19"/>
      <c r="BG39" s="1"/>
      <c r="BH39" s="1"/>
      <c r="BI39" s="1"/>
      <c r="BJ39" s="1"/>
      <c r="BK39" s="1"/>
      <c r="BL39" s="1"/>
      <c r="BM39" s="1"/>
      <c r="BN39" s="1"/>
      <c r="BO39" s="535"/>
      <c r="BP39" s="1"/>
      <c r="BQ39" s="1"/>
      <c r="BR39" s="1"/>
      <c r="BS39" s="1"/>
    </row>
    <row r="40" spans="2:74" ht="15.75" customHeight="1" thickBot="1">
      <c r="E40" s="812"/>
      <c r="F40" s="813"/>
      <c r="G40" s="814"/>
      <c r="H40" s="65"/>
      <c r="I40" s="812"/>
      <c r="J40" s="813"/>
      <c r="K40" s="814"/>
      <c r="L40" s="65"/>
      <c r="M40" s="812"/>
      <c r="N40" s="813"/>
      <c r="O40" s="814"/>
      <c r="S40" s="808"/>
      <c r="T40" s="808"/>
      <c r="U40" s="808"/>
      <c r="V40" s="808"/>
      <c r="W40" s="808"/>
      <c r="X40" s="808"/>
      <c r="Y40" s="808"/>
      <c r="Z40" s="808"/>
      <c r="AA40" s="808"/>
      <c r="AB40" s="19"/>
      <c r="AD40" s="94"/>
      <c r="AE40" s="1"/>
      <c r="BO40" s="535"/>
    </row>
    <row r="41" spans="2:74" ht="15.75" hidden="1" customHeight="1" thickBot="1">
      <c r="D41" s="67" t="s">
        <v>1336</v>
      </c>
      <c r="E41" s="67" t="e">
        <f>VLOOKUP(E35,kombinace_1!A:C,3,0)</f>
        <v>#N/A</v>
      </c>
      <c r="F41" s="67">
        <v>1</v>
      </c>
      <c r="G41" s="67" t="e">
        <f>CONCATENATE(D41,E41,F41)</f>
        <v>#N/A</v>
      </c>
      <c r="H41" s="67" t="s">
        <v>1336</v>
      </c>
      <c r="I41" s="67" t="e">
        <f>VLOOKUP(I35,kombinace_1!A:C,3,0)</f>
        <v>#N/A</v>
      </c>
      <c r="J41" s="67">
        <v>1</v>
      </c>
      <c r="K41" s="67" t="e">
        <f>CONCATENATE(H41,I41,J41)</f>
        <v>#N/A</v>
      </c>
      <c r="L41" s="67" t="s">
        <v>1336</v>
      </c>
      <c r="M41" s="67" t="e">
        <f>VLOOKUP(M35,kombinace_1!A:C,3,0)</f>
        <v>#N/A</v>
      </c>
      <c r="N41" s="67">
        <v>1</v>
      </c>
      <c r="O41" s="67" t="e">
        <f>CONCATENATE(L41,M41,N41)</f>
        <v>#N/A</v>
      </c>
      <c r="S41" s="808"/>
      <c r="T41" s="808"/>
      <c r="U41" s="808"/>
      <c r="V41" s="808"/>
      <c r="W41" s="808"/>
      <c r="X41" s="808"/>
      <c r="Y41" s="808"/>
      <c r="Z41" s="808"/>
      <c r="AA41" s="808"/>
      <c r="AB41" s="536"/>
      <c r="AC41" s="95" t="s">
        <v>459</v>
      </c>
      <c r="AD41" s="95" t="s">
        <v>460</v>
      </c>
      <c r="AE41" s="95" t="s">
        <v>461</v>
      </c>
      <c r="AF41" s="95" t="s">
        <v>3775</v>
      </c>
      <c r="AG41" s="67" t="s">
        <v>3776</v>
      </c>
      <c r="AH41" s="67"/>
      <c r="BO41" s="535"/>
    </row>
    <row r="42" spans="2:74" ht="15.75" hidden="1" customHeight="1" thickBot="1">
      <c r="C42" s="96" t="s">
        <v>456</v>
      </c>
      <c r="D42" s="97"/>
      <c r="E42" s="98">
        <f>VLOOKUP(E35,kombinace_posuv!$A:$B,2,0)</f>
        <v>2</v>
      </c>
      <c r="F42" s="98"/>
      <c r="G42" s="98"/>
      <c r="H42" s="67"/>
      <c r="I42" s="98">
        <f>VLOOKUP(I35,kombinace_posuv!$A:$B,2,0)</f>
        <v>2</v>
      </c>
      <c r="J42" s="98"/>
      <c r="K42" s="98"/>
      <c r="L42" s="67"/>
      <c r="M42" s="98">
        <f>VLOOKUP(M35,kombinace_posuv!$A:$B,2,0)</f>
        <v>2</v>
      </c>
      <c r="N42" s="98"/>
      <c r="O42" s="99"/>
      <c r="S42" s="808"/>
      <c r="T42" s="808"/>
      <c r="U42" s="808"/>
      <c r="V42" s="808"/>
      <c r="W42" s="808"/>
      <c r="X42" s="808"/>
      <c r="Y42" s="808"/>
      <c r="Z42" s="808"/>
      <c r="AA42" s="808"/>
      <c r="AB42" s="537"/>
      <c r="AC42" s="67">
        <f>IF(E28=0,0,IF((E28*2)&lt;=2000,1,0))</f>
        <v>0</v>
      </c>
      <c r="AD42" s="67">
        <f>IF(E28=0,0,IF((E28*2)&lt;=2000,0,IF((E28*2)&gt;2000,IF((E28*2)&lt;=3000,1,0))))</f>
        <v>0</v>
      </c>
      <c r="AE42" s="67">
        <f>2*(IF(E28=0,0,IF(E28&lt;1501,0,IF(E28&gt;2000,0,IF(E28&lt;=2000,1,0)))))</f>
        <v>0</v>
      </c>
      <c r="AF42" s="67">
        <f>2*(IF(E28=0,0,IF(E28&lt;2001,0,IF(E28&gt;3000,0,IF(E28&lt;=3000,1,0)))))</f>
        <v>0</v>
      </c>
      <c r="AG42" s="67" t="e">
        <f>VLOOKUP(E35,U57:AJ112,16,0)</f>
        <v>#N/A</v>
      </c>
      <c r="AH42" s="67"/>
      <c r="BO42" s="535"/>
    </row>
    <row r="43" spans="2:74" ht="15.75" hidden="1" customHeight="1" thickBot="1">
      <c r="C43" s="1" t="s">
        <v>1338</v>
      </c>
      <c r="E43" s="1">
        <f>IF(E42=2,E30,0)</f>
        <v>0</v>
      </c>
      <c r="I43" s="1">
        <f>IFERROR(IF(I42=2,I30,0),0)</f>
        <v>0</v>
      </c>
      <c r="M43" s="1">
        <f>IFERROR(IF(M42=2,M30,0),0)</f>
        <v>0</v>
      </c>
      <c r="O43" s="4">
        <f>SUM(E43,I43,M43)</f>
        <v>0</v>
      </c>
      <c r="S43" s="808"/>
      <c r="T43" s="808"/>
      <c r="U43" s="808"/>
      <c r="V43" s="808"/>
      <c r="W43" s="808"/>
      <c r="X43" s="808"/>
      <c r="Y43" s="808"/>
      <c r="Z43" s="808"/>
      <c r="AA43" s="808"/>
      <c r="AB43" s="537"/>
      <c r="AC43" s="67">
        <f>IF(I28=0,0,IF((I28*2)&lt;=2000,1,0))</f>
        <v>0</v>
      </c>
      <c r="AD43" s="67">
        <f>IF(I28=0,0,IF((I28*2)&lt;=2000,0,IF((I28*2)&gt;2000,IF((I28*2)&lt;=3000,1,0))))</f>
        <v>0</v>
      </c>
      <c r="AE43" s="67">
        <f>2*(IF(I28=0,0,IF(I28&lt;1501,0,IF(I28&gt;2000,0,IF(I28&lt;=2000,1,0)))))</f>
        <v>0</v>
      </c>
      <c r="AF43" s="67">
        <f>2*(IF(I28=0,0,IF(I28&lt;2001,0,IF(I28&gt;3000,0,IF(I28&lt;=3000,1,0)))))</f>
        <v>0</v>
      </c>
      <c r="AG43" s="67" t="e">
        <f>VLOOKUP(I35,U57:AJ112,16,0)</f>
        <v>#N/A</v>
      </c>
      <c r="AH43" s="67"/>
      <c r="BO43" s="535"/>
    </row>
    <row r="44" spans="2:74" ht="15.75" hidden="1" customHeight="1" thickBot="1">
      <c r="C44" s="1" t="s">
        <v>1339</v>
      </c>
      <c r="E44" s="1">
        <f>IF(E42=1,E30,0)</f>
        <v>0</v>
      </c>
      <c r="I44" s="1">
        <f>IFERROR(IF(I42=1,I30,0),0)</f>
        <v>0</v>
      </c>
      <c r="M44" s="1">
        <f>IFERROR(IF(M42=1,M30,0),0)</f>
        <v>0</v>
      </c>
      <c r="O44" s="5">
        <f>SUM(E44,I44,M44)</f>
        <v>0</v>
      </c>
      <c r="S44" s="808"/>
      <c r="T44" s="808"/>
      <c r="U44" s="808"/>
      <c r="V44" s="808"/>
      <c r="W44" s="808"/>
      <c r="X44" s="808"/>
      <c r="Y44" s="808"/>
      <c r="Z44" s="808"/>
      <c r="AA44" s="808"/>
      <c r="AB44" s="537"/>
      <c r="AC44" s="67">
        <f>IF(M28=0,0,IF((M28*2)&lt;=2000,1,0))</f>
        <v>0</v>
      </c>
      <c r="AD44" s="67">
        <f>IF(M28=0,0,IF((M28*2)&lt;=2000,0,IF((M28*2)&gt;2000,IF((M28*2)&lt;=3000,1,0))))</f>
        <v>0</v>
      </c>
      <c r="AE44" s="67">
        <f>2*(IF(M28=0,0,IF(M28&lt;1501,0,IF(M28&gt;2000,0,IF(M28&lt;=2000,1,0)))))</f>
        <v>0</v>
      </c>
      <c r="AF44" s="67">
        <f>2*(IF(M28=0,0,IF(M28&lt;2001,0,IF(M28&gt;3000,0,IF(M28&lt;=3000,1,0)))))</f>
        <v>0</v>
      </c>
      <c r="AG44" s="67" t="e">
        <f>VLOOKUP(M35,U57:AJ112,16,0)</f>
        <v>#N/A</v>
      </c>
      <c r="AH44" s="67"/>
      <c r="BO44" s="535"/>
    </row>
    <row r="45" spans="2:74" ht="15.75" hidden="1" customHeight="1">
      <c r="S45" s="808"/>
      <c r="T45" s="808"/>
      <c r="U45" s="808"/>
      <c r="V45" s="808"/>
      <c r="W45" s="808"/>
      <c r="X45" s="808"/>
      <c r="Y45" s="808"/>
      <c r="Z45" s="808"/>
      <c r="AA45" s="808"/>
      <c r="AB45" s="536"/>
      <c r="AC45" s="67">
        <f>SUM(AC42:AC44)</f>
        <v>0</v>
      </c>
      <c r="AD45" s="67">
        <f>SUM(AD42:AD44)</f>
        <v>0</v>
      </c>
      <c r="AE45" s="67">
        <f>SUM(AE42:AE44)</f>
        <v>0</v>
      </c>
      <c r="AF45" s="67">
        <f>SUM(AF42:AF44)</f>
        <v>0</v>
      </c>
      <c r="AG45" s="67"/>
      <c r="AH45" s="67"/>
      <c r="BO45" s="535"/>
    </row>
    <row r="46" spans="2:74" ht="15.75" customHeight="1">
      <c r="S46" s="808"/>
      <c r="T46" s="808"/>
      <c r="U46" s="808"/>
      <c r="V46" s="808"/>
      <c r="W46" s="808"/>
      <c r="X46" s="808"/>
      <c r="Y46" s="808"/>
      <c r="Z46" s="808"/>
      <c r="AA46" s="808"/>
      <c r="AB46" s="536"/>
      <c r="AC46" s="67"/>
      <c r="AD46" s="67"/>
      <c r="AE46" s="67"/>
      <c r="AF46" s="67"/>
      <c r="AG46" s="67"/>
      <c r="AH46" s="67"/>
      <c r="BO46" s="535"/>
      <c r="BU46" s="1"/>
      <c r="BV46" s="1"/>
    </row>
    <row r="47" spans="2:74" ht="14.85" customHeight="1" thickBot="1">
      <c r="S47" s="808"/>
      <c r="T47" s="808"/>
      <c r="U47" s="808"/>
      <c r="V47" s="808"/>
      <c r="W47" s="808"/>
      <c r="X47" s="808"/>
      <c r="Y47" s="808"/>
      <c r="Z47" s="808"/>
      <c r="AA47" s="808"/>
      <c r="AB47" s="19"/>
      <c r="BO47" s="535"/>
    </row>
    <row r="48" spans="2:74" ht="14.85" customHeight="1" thickBot="1">
      <c r="B48" s="802" t="str">
        <f>'Translate&amp;Prices&amp;Logo'!$B$178</f>
        <v>Cena ramek</v>
      </c>
      <c r="C48" s="802"/>
      <c r="D48" s="351"/>
      <c r="E48" s="815">
        <f>SUM(E55:E56)*(1-(I15/100))</f>
        <v>0</v>
      </c>
      <c r="F48" s="816"/>
      <c r="G48" s="325" t="str">
        <f>VLOOKUP('Translate&amp;Prices&amp;Logo'!D1,kombinace_1!$EV$1:$EW$6,2,0)</f>
        <v>zl</v>
      </c>
      <c r="H48" s="349"/>
      <c r="I48" s="815">
        <f>SUM(I55:I56)*(1-(I15/100))</f>
        <v>0</v>
      </c>
      <c r="J48" s="816"/>
      <c r="K48" s="325" t="str">
        <f>VLOOKUP('Translate&amp;Prices&amp;Logo'!D1,kombinace_1!$EV$1:$EW$6,2,0)</f>
        <v>zl</v>
      </c>
      <c r="L48" s="349"/>
      <c r="M48" s="815">
        <f>SUM(M55:M56)*(1-(I15/100))</f>
        <v>0</v>
      </c>
      <c r="N48" s="816"/>
      <c r="O48" s="325" t="str">
        <f>VLOOKUP('Translate&amp;Prices&amp;Logo'!D1,kombinace_1!$EV$1:$EW$6,2,0)</f>
        <v>zl</v>
      </c>
      <c r="S48" s="19"/>
      <c r="T48" s="19"/>
      <c r="U48" s="19"/>
      <c r="V48" s="19"/>
      <c r="W48" s="19"/>
      <c r="X48" s="19"/>
      <c r="Y48" s="19"/>
      <c r="Z48" s="19"/>
      <c r="AA48" s="19"/>
      <c r="AB48" s="19"/>
      <c r="BO48" s="535"/>
      <c r="BV48" s="1"/>
    </row>
    <row r="49" spans="3:77" ht="14.85" customHeight="1">
      <c r="O49" s="104"/>
      <c r="P49" s="104"/>
      <c r="Q49" s="104"/>
      <c r="R49" s="104"/>
      <c r="S49" s="538"/>
      <c r="T49" s="538"/>
      <c r="U49" s="538"/>
      <c r="V49" s="539"/>
      <c r="W49" s="19"/>
      <c r="X49" s="19"/>
      <c r="Y49" s="19"/>
      <c r="Z49" s="19"/>
      <c r="AA49" s="19"/>
      <c r="AB49" s="19"/>
      <c r="BO49" s="535"/>
      <c r="BT49" s="1"/>
      <c r="BU49" s="1"/>
    </row>
    <row r="50" spans="3:77" ht="14.85" customHeight="1">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M50" s="315" t="str">
        <f>'Translate&amp;Prices&amp;Logo'!$B$320</f>
        <v>Standardowo ościeżnice przygotowane są pod okucia przesuwne H27AL (nośność 25 kg na ościeżnicę) i H37AL (nośność 35 kg na ościeżnicę).</v>
      </c>
      <c r="BO50" s="535"/>
    </row>
    <row r="51" spans="3:77" ht="14.85" customHeight="1">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M51" s="315" t="str">
        <f>'Translate&amp;Prices&amp;Logo'!$B$319</f>
        <v>Wysokość ramki = wysokość wewnętrzna szafki - 6 mm.</v>
      </c>
      <c r="BO51" s="535"/>
      <c r="BU51" s="1"/>
    </row>
    <row r="52" spans="3:77" ht="14.85" customHeight="1">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M52" s="315" t="str">
        <f>'Translate&amp;Prices&amp;Logo'!$B$330</f>
        <v>Cena za ramy przesuwne jest taka sama jak cena za zwykłe ramy.</v>
      </c>
      <c r="BO52" s="535"/>
    </row>
    <row r="53" spans="3:77" ht="14.85" customHeight="1">
      <c r="BO53" s="535"/>
    </row>
    <row r="54" spans="3:77" ht="14.85" hidden="1" customHeight="1">
      <c r="BO54" s="535"/>
    </row>
    <row r="55" spans="3:77" ht="14.85" hidden="1" customHeight="1">
      <c r="C55" s="1" t="s">
        <v>3430</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c r="BO55" s="535"/>
      <c r="BV55" s="531"/>
      <c r="BY55" s="169"/>
    </row>
    <row r="56" spans="3:77" ht="14.85" hidden="1" customHeight="1">
      <c r="C56" s="1" t="s">
        <v>3431</v>
      </c>
      <c r="E56" s="1">
        <f>IFERROR(((VLOOKUP(E39,'Translate&amp;Prices&amp;Logo'!B99:D167,2,0))*((E28/1000)*(E26/1000)))*E30,0)</f>
        <v>0</v>
      </c>
      <c r="I56" s="1">
        <f>IFERROR(((VLOOKUP(I39,'Translate&amp;Prices&amp;Logo'!B99:D167,2,0))*((I28/1000)*(I26/1000)))*I30,0)</f>
        <v>0</v>
      </c>
      <c r="M56" s="1">
        <f>IFERROR(((VLOOKUP(M39,'Translate&amp;Prices&amp;Logo'!B99:D167,2,0))*((M28/1000)*(M26/1000)))*M30,0)</f>
        <v>0</v>
      </c>
      <c r="BO56" s="527"/>
      <c r="BX56" s="169"/>
      <c r="BY56" s="169"/>
    </row>
    <row r="57" spans="3:77" ht="14.85" hidden="1" customHeight="1">
      <c r="E57" s="75" t="e">
        <f t="array" aca="1" ref="E57:E100" ca="1">IF(OR(E35=kombinace_1!A17,E35=kombinace_1!A18,E35=kombinace_1!A20,E35=kombinace_1!A25,E35=kombinace_1!A26,E35=kombinace_1!A27,E35=kombinace_1!A28),_corleone,INDIRECT($G$41))</f>
        <v>#N/A</v>
      </c>
      <c r="I57" s="1" t="e">
        <f t="array" aca="1" ref="I57:I100" ca="1">IF(OR(I35=kombinace_1!A17,I35=kombinace_1!A18,I35=kombinace_1!A20,I35=kombinace_1!A25,I35=kombinace_1!A26,I35=kombinace_1!A27,I35=kombinace_1!A28),_corleone,INDIRECT($K$41))</f>
        <v>#N/A</v>
      </c>
      <c r="M57" s="1" t="e">
        <f t="array" aca="1" ref="M57:M100" ca="1">IF(OR(M35=kombinace_1!A17,M35=kombinace_1!A18,M35=kombinace_1!A20,M35=kombinace_1!A25,M35=kombinace_1!A26,M35=kombinace_1!A27,M35=kombinace_1!A28),_corleone,INDIRECT($O$41))</f>
        <v>#N/A</v>
      </c>
      <c r="U57" t="str">
        <f>'Translate&amp;Prices&amp;Logo'!$B$6</f>
        <v>BRW (elox.) - maksymalna zalecana długość profilu 2500 mm</v>
      </c>
      <c r="AJ57" s="1">
        <v>20</v>
      </c>
      <c r="BO57" s="527"/>
    </row>
    <row r="58" spans="3:77" ht="14.85" hidden="1" customHeight="1">
      <c r="E58" s="75" t="e">
        <f ca="1"/>
        <v>#N/A</v>
      </c>
      <c r="I58" s="1" t="e">
        <f ca="1"/>
        <v>#N/A</v>
      </c>
      <c r="M58" s="1" t="e">
        <f ca="1"/>
        <v>#N/A</v>
      </c>
      <c r="U58" t="str">
        <f>'Translate&amp;Prices&amp;Logo'!$B$8</f>
        <v>BRW bialy matowy RAL 9003 - maksymalna zalecana długość profilu 2500 mm</v>
      </c>
      <c r="AJ58" s="1">
        <v>20</v>
      </c>
      <c r="BO58" s="527"/>
    </row>
    <row r="59" spans="3:77" ht="14.85" hidden="1" customHeight="1">
      <c r="E59" s="75" t="e">
        <f ca="1"/>
        <v>#N/A</v>
      </c>
      <c r="I59" s="1" t="e">
        <f ca="1"/>
        <v>#N/A</v>
      </c>
      <c r="M59" s="1" t="e">
        <f ca="1"/>
        <v>#N/A</v>
      </c>
      <c r="U59" t="str">
        <f>'Translate&amp;Prices&amp;Logo'!$B$9</f>
        <v>BRW bialy połysk RAL 9003 - maksymalna zalecana długość profilu 2500 mm</v>
      </c>
      <c r="AJ59" s="1">
        <v>20</v>
      </c>
      <c r="BO59" s="527"/>
    </row>
    <row r="60" spans="3:77" ht="14.85" hidden="1" customHeight="1">
      <c r="E60" s="75" t="e">
        <f ca="1"/>
        <v>#N/A</v>
      </c>
      <c r="I60" s="1" t="e">
        <f ca="1"/>
        <v>#N/A</v>
      </c>
      <c r="M60" s="1" t="e">
        <f ca="1"/>
        <v>#N/A</v>
      </c>
      <c r="U60" t="str">
        <f>'Translate&amp;Prices&amp;Logo'!$B$11</f>
        <v>BRW szczotkowany - maksymalna zalecana długość profilu 2500 mm</v>
      </c>
      <c r="AJ60" s="1">
        <v>20</v>
      </c>
      <c r="BO60" s="527"/>
    </row>
    <row r="61" spans="3:77" ht="14.85" hidden="1" customHeight="1">
      <c r="E61" s="75" t="e">
        <f ca="1"/>
        <v>#N/A</v>
      </c>
      <c r="I61" s="1" t="e">
        <f ca="1"/>
        <v>#N/A</v>
      </c>
      <c r="M61" s="1" t="e">
        <f ca="1"/>
        <v>#N/A</v>
      </c>
      <c r="U61" t="str">
        <f>'Translate&amp;Prices&amp;Logo'!$B$12</f>
        <v>BRW Czarny matowy - maksymalna zalecana długość profilu 2500 mm</v>
      </c>
      <c r="AJ61" s="1">
        <v>20</v>
      </c>
      <c r="BO61" s="527"/>
    </row>
    <row r="62" spans="3:77" ht="14.85" hidden="1" customHeight="1">
      <c r="E62" s="75" t="e">
        <f ca="1"/>
        <v>#N/A</v>
      </c>
      <c r="I62" s="1" t="e">
        <f ca="1"/>
        <v>#N/A</v>
      </c>
      <c r="M62" s="1" t="e">
        <f ca="1"/>
        <v>#N/A</v>
      </c>
      <c r="U62" t="str">
        <f>'Translate&amp;Prices&amp;Logo'!$B$14</f>
        <v>BRW czarna szczotka - maksymalna zalecana długość profilu 2500 mm</v>
      </c>
      <c r="AJ62" s="1">
        <v>20</v>
      </c>
      <c r="BO62" s="527"/>
    </row>
    <row r="63" spans="3:77" ht="14.85" hidden="1" customHeight="1">
      <c r="E63" s="75" t="e">
        <f ca="1"/>
        <v>#N/A</v>
      </c>
      <c r="I63" s="1" t="e">
        <f ca="1"/>
        <v>#N/A</v>
      </c>
      <c r="M63" s="1" t="e">
        <f ca="1"/>
        <v>#N/A</v>
      </c>
      <c r="U63" t="str">
        <f>'Translate&amp;Prices&amp;Logo'!$B$15</f>
        <v>BRW acier grata - maksymalna zalecana długość profilu 2500 mm</v>
      </c>
      <c r="AJ63" s="1">
        <v>20</v>
      </c>
      <c r="BO63" s="527"/>
    </row>
    <row r="64" spans="3:77" ht="14.85" hidden="1" customHeight="1">
      <c r="E64" s="75" t="e">
        <f ca="1"/>
        <v>#N/A</v>
      </c>
      <c r="I64" s="1" t="e">
        <f ca="1"/>
        <v>#N/A</v>
      </c>
      <c r="M64" s="1" t="e">
        <f ca="1"/>
        <v>#N/A</v>
      </c>
      <c r="U64" t="str">
        <f>'Translate&amp;Prices&amp;Logo'!$B$7</f>
        <v>BRW antracyt RAL 7021 - maksymalna zalecana długość profilu 2500 mm</v>
      </c>
      <c r="AJ64" s="1">
        <v>20</v>
      </c>
      <c r="BO64" s="527"/>
    </row>
    <row r="65" spans="5:71" ht="14.85" hidden="1" customHeight="1">
      <c r="E65" s="75" t="e">
        <f ca="1"/>
        <v>#N/A</v>
      </c>
      <c r="I65" s="1" t="e">
        <f ca="1"/>
        <v>#N/A</v>
      </c>
      <c r="M65" s="1" t="e">
        <f ca="1"/>
        <v>#N/A</v>
      </c>
      <c r="U65" t="str">
        <f>'Translate&amp;Prices&amp;Logo'!$B$69</f>
        <v>BRW champagne - maksymalna zalecana długość profilu 2500 mm</v>
      </c>
      <c r="AJ65" s="1">
        <v>20</v>
      </c>
      <c r="BO65" s="527"/>
    </row>
    <row r="66" spans="5:71" ht="14.85" hidden="1" customHeight="1">
      <c r="E66" s="75" t="e">
        <f ca="1"/>
        <v>#N/A</v>
      </c>
      <c r="I66" s="1" t="e">
        <f ca="1"/>
        <v>#N/A</v>
      </c>
      <c r="M66" s="1" t="e">
        <f ca="1"/>
        <v>#N/A</v>
      </c>
      <c r="U66" t="str">
        <f>'Translate&amp;Prices&amp;Logo'!$B$70</f>
        <v>BRW champagne light - maksymalna zalecana długość profilu 2500 mm</v>
      </c>
      <c r="AJ66" s="1">
        <v>20</v>
      </c>
    </row>
    <row r="67" spans="5:71" ht="14.85" hidden="1" customHeight="1">
      <c r="E67" s="75" t="e">
        <f ca="1"/>
        <v>#N/A</v>
      </c>
      <c r="I67" s="1" t="e">
        <f ca="1"/>
        <v>#N/A</v>
      </c>
      <c r="M67" s="1" t="e">
        <f ca="1"/>
        <v>#N/A</v>
      </c>
      <c r="U67" t="str">
        <f>'Translate&amp;Prices&amp;Logo'!$B$10</f>
        <v>BRW brąz - maksymalna zalecana długość profilu 2500 mm</v>
      </c>
      <c r="AJ67" s="1">
        <v>20</v>
      </c>
      <c r="BN67" s="532"/>
      <c r="BO67" s="378"/>
      <c r="BP67" s="378"/>
      <c r="BQ67" s="378"/>
      <c r="BR67" s="378"/>
      <c r="BS67" s="378"/>
    </row>
    <row r="68" spans="5:71" ht="14.85" hidden="1" customHeight="1">
      <c r="E68" s="75" t="e">
        <f ca="1"/>
        <v>#N/A</v>
      </c>
      <c r="I68" s="1" t="e">
        <f ca="1"/>
        <v>#N/A</v>
      </c>
      <c r="M68" s="1" t="e">
        <f ca="1"/>
        <v>#N/A</v>
      </c>
      <c r="U68" t="str">
        <f>'Translate&amp;Prices&amp;Logo'!$B$16</f>
        <v>BRW INOX (stal nierdzewna) - maksymalna zalecana długość profilu 2500 mm</v>
      </c>
      <c r="AJ68" s="1">
        <v>20</v>
      </c>
      <c r="BN68" s="533"/>
      <c r="BO68" s="497"/>
      <c r="BP68" s="497"/>
      <c r="BQ68" s="497"/>
      <c r="BR68" s="232"/>
      <c r="BS68" s="232"/>
    </row>
    <row r="69" spans="5:71" ht="14.85" hidden="1" customHeight="1">
      <c r="E69" s="75" t="e">
        <f ca="1"/>
        <v>#N/A</v>
      </c>
      <c r="I69" s="1" t="e">
        <f ca="1"/>
        <v>#N/A</v>
      </c>
      <c r="M69" s="1" t="e">
        <f ca="1"/>
        <v>#N/A</v>
      </c>
      <c r="U69" t="str">
        <f>'Translate&amp;Prices&amp;Logo'!$B$13</f>
        <v>BRW złota- maksymalna zalecana długość profilu 2500 mm</v>
      </c>
      <c r="AJ69" s="1">
        <v>20</v>
      </c>
      <c r="BN69" s="17"/>
      <c r="BO69" s="497"/>
      <c r="BP69" s="497"/>
      <c r="BQ69" s="497"/>
      <c r="BR69" s="232"/>
      <c r="BS69" s="232"/>
    </row>
    <row r="70" spans="5:71" ht="14.85" hidden="1" customHeight="1">
      <c r="E70" s="75" t="e">
        <f ca="1"/>
        <v>#N/A</v>
      </c>
      <c r="I70" s="1" t="e">
        <f ca="1"/>
        <v>#N/A</v>
      </c>
      <c r="M70" s="1" t="e">
        <f ca="1"/>
        <v>#N/A</v>
      </c>
      <c r="U70" t="str">
        <f>'Translate&amp;Prices&amp;Logo'!$B$55</f>
        <v>BRW złota szczotkowany - maksymalna zalecana zalecana długość profilu 2500 mm</v>
      </c>
      <c r="AJ70" s="1">
        <v>20</v>
      </c>
      <c r="BN70" s="17"/>
      <c r="BO70"/>
      <c r="BP70"/>
      <c r="BQ70"/>
      <c r="BR70"/>
      <c r="BS70" s="232"/>
    </row>
    <row r="71" spans="5:71" ht="14.85" hidden="1" customHeight="1">
      <c r="E71" s="75" t="e">
        <f ca="1"/>
        <v>#N/A</v>
      </c>
      <c r="I71" s="1" t="e">
        <f ca="1"/>
        <v>#N/A</v>
      </c>
      <c r="M71" s="1" t="e">
        <f ca="1"/>
        <v>#N/A</v>
      </c>
      <c r="U71" t="str">
        <f>'Translate&amp;Prices&amp;Logo'!$B$17</f>
        <v>Corleone (elox.)- maksymalna zalecana długość profilu 1500 mm</v>
      </c>
      <c r="AJ71" s="1">
        <v>40</v>
      </c>
    </row>
    <row r="72" spans="5:71" ht="14.85" hidden="1" customHeight="1">
      <c r="E72" s="75" t="e">
        <f ca="1"/>
        <v>#N/A</v>
      </c>
      <c r="I72" s="1" t="e">
        <f ca="1"/>
        <v>#N/A</v>
      </c>
      <c r="M72" s="1" t="e">
        <f ca="1"/>
        <v>#N/A</v>
      </c>
      <c r="U72" t="str">
        <f>'Translate&amp;Prices&amp;Logo'!$B$18</f>
        <v>Corleone czarny matowy - maksymalna zalecana długość profilu 1500 mm</v>
      </c>
      <c r="AJ72" s="1">
        <v>40</v>
      </c>
    </row>
    <row r="73" spans="5:71" ht="14.85" hidden="1" customHeight="1">
      <c r="E73" s="75" t="e">
        <f ca="1"/>
        <v>#N/A</v>
      </c>
      <c r="I73" s="1" t="e">
        <f ca="1"/>
        <v>#N/A</v>
      </c>
      <c r="M73" s="1" t="e">
        <f ca="1"/>
        <v>#N/A</v>
      </c>
      <c r="U73" t="str">
        <f>'Translate&amp;Prices&amp;Logo'!$B$59</f>
        <v>ASTI  czarne  - maksymalna zalecana długość profilu 2150</v>
      </c>
      <c r="AJ73" s="1">
        <v>20</v>
      </c>
    </row>
    <row r="74" spans="5:71" ht="14.85" hidden="1" customHeight="1">
      <c r="E74" s="75" t="e">
        <f ca="1"/>
        <v>#N/A</v>
      </c>
      <c r="I74" s="1" t="e">
        <f ca="1"/>
        <v>#N/A</v>
      </c>
      <c r="M74" s="1" t="e">
        <f ca="1"/>
        <v>#N/A</v>
      </c>
      <c r="U74" t="str">
        <f>'Translate&amp;Prices&amp;Logo'!$B$60</f>
        <v>ASTI  antracyt mat RAL 7021 mat lakier - maksymalna zalecana długość profilu 2500 mm</v>
      </c>
      <c r="AJ74" s="1">
        <v>20</v>
      </c>
      <c r="BO74" s="414"/>
      <c r="BP74" s="414"/>
      <c r="BQ74" s="414"/>
      <c r="BR74" s="414"/>
      <c r="BS74" s="414"/>
    </row>
    <row r="75" spans="5:71" ht="14.85" hidden="1" customHeight="1">
      <c r="E75" s="75" t="e">
        <f ca="1"/>
        <v>#N/A</v>
      </c>
      <c r="I75" s="1" t="e">
        <f ca="1"/>
        <v>#N/A</v>
      </c>
      <c r="M75" s="1" t="e">
        <f ca="1"/>
        <v>#N/A</v>
      </c>
      <c r="U75" t="str">
        <f>'Translate&amp;Prices&amp;Logo'!$B$19</f>
        <v>Imola (elox.) - maksymalna zalecana długość profilu 2500 mm</v>
      </c>
      <c r="AJ75" s="1">
        <v>40</v>
      </c>
      <c r="BO75" s="414"/>
      <c r="BP75" s="414"/>
      <c r="BQ75" s="414"/>
      <c r="BR75" s="414"/>
      <c r="BS75" s="414"/>
    </row>
    <row r="76" spans="5:71" ht="14.85" hidden="1" customHeight="1">
      <c r="E76" s="75" t="e">
        <f ca="1"/>
        <v>#N/A</v>
      </c>
      <c r="I76" s="1" t="e">
        <f ca="1"/>
        <v>#N/A</v>
      </c>
      <c r="M76" s="1" t="e">
        <f ca="1"/>
        <v>#N/A</v>
      </c>
      <c r="U76" t="str">
        <f>'Translate&amp;Prices&amp;Logo'!$B$20</f>
        <v>Imola Czarny matowy - maksymalna zalecana długość profilu 2500 mm</v>
      </c>
      <c r="AJ76" s="1">
        <v>40</v>
      </c>
      <c r="BO76" s="414"/>
      <c r="BP76" s="414"/>
      <c r="BQ76" s="414"/>
      <c r="BR76" s="414"/>
      <c r="BS76" s="414"/>
    </row>
    <row r="77" spans="5:71" ht="14.85" hidden="1" customHeight="1">
      <c r="E77" s="75" t="e">
        <f ca="1"/>
        <v>#N/A</v>
      </c>
      <c r="I77" s="1" t="e">
        <f ca="1"/>
        <v>#N/A</v>
      </c>
      <c r="M77" s="1" t="e">
        <f ca="1"/>
        <v>#N/A</v>
      </c>
      <c r="U77" t="str">
        <f>'Translate&amp;Prices&amp;Logo'!$B$21</f>
        <v>Imola bialy matowy RAL 9003 - maksymalna zalecana długość profilu 2500 mm</v>
      </c>
      <c r="AJ77" s="1">
        <v>40</v>
      </c>
      <c r="BO77" s="414"/>
      <c r="BP77" s="414"/>
      <c r="BQ77" s="414"/>
      <c r="BR77" s="414"/>
      <c r="BS77" s="414"/>
    </row>
    <row r="78" spans="5:71" ht="14.85" hidden="1" customHeight="1">
      <c r="E78" s="75" t="e">
        <f ca="1"/>
        <v>#N/A</v>
      </c>
      <c r="I78" s="1" t="e">
        <f ca="1"/>
        <v>#N/A</v>
      </c>
      <c r="M78" s="1" t="e">
        <f ca="1"/>
        <v>#N/A</v>
      </c>
      <c r="U78" t="str">
        <f>'Translate&amp;Prices&amp;Logo'!$B$45</f>
        <v>Imola złota - maksymalna zalecana zalecana długość profilu 2150 mm</v>
      </c>
      <c r="AJ78" s="1">
        <v>40</v>
      </c>
    </row>
    <row r="79" spans="5:71" ht="14.85" hidden="1" customHeight="1">
      <c r="E79" s="75" t="e">
        <f ca="1"/>
        <v>#N/A</v>
      </c>
      <c r="I79" s="1" t="e">
        <f ca="1"/>
        <v>#N/A</v>
      </c>
      <c r="M79" s="1" t="e">
        <f ca="1"/>
        <v>#N/A</v>
      </c>
      <c r="U79" t="str">
        <f>'Translate&amp;Prices&amp;Logo'!$B$22</f>
        <v>Modena (elox.) - maksymalna zalecana długość profilu 2500 mm</v>
      </c>
      <c r="AJ79" s="1">
        <v>40</v>
      </c>
    </row>
    <row r="80" spans="5:71" ht="14.85" hidden="1" customHeight="1">
      <c r="E80" s="75" t="e">
        <f ca="1"/>
        <v>#N/A</v>
      </c>
      <c r="I80" s="1" t="e">
        <f ca="1"/>
        <v>#N/A</v>
      </c>
      <c r="M80" s="1" t="e">
        <f ca="1"/>
        <v>#N/A</v>
      </c>
      <c r="U80" t="str">
        <f>'Translate&amp;Prices&amp;Logo'!$B$23</f>
        <v>Modena Czarny matowy - maksymalna zalecana długość profilu 2500 mm</v>
      </c>
      <c r="AJ80" s="1">
        <v>40</v>
      </c>
    </row>
    <row r="81" spans="5:72" ht="14.85" hidden="1" customHeight="1">
      <c r="E81" s="75" t="e">
        <f ca="1"/>
        <v>#N/A</v>
      </c>
      <c r="I81" s="1" t="e">
        <f ca="1"/>
        <v>#N/A</v>
      </c>
      <c r="M81" s="1" t="e">
        <f ca="1"/>
        <v>#N/A</v>
      </c>
      <c r="U81" t="str">
        <f>'Translate&amp;Prices&amp;Logo'!$B$25</f>
        <v>Modena czarna szczotka - maksymalna zalecana długość profilu 2500 mm</v>
      </c>
      <c r="AJ81" s="1">
        <v>40</v>
      </c>
    </row>
    <row r="82" spans="5:72" ht="14.85" hidden="1" customHeight="1">
      <c r="E82" s="75" t="e">
        <f ca="1"/>
        <v>#N/A</v>
      </c>
      <c r="I82" s="1" t="e">
        <f ca="1"/>
        <v>#N/A</v>
      </c>
      <c r="M82" s="1" t="e">
        <f ca="1"/>
        <v>#N/A</v>
      </c>
      <c r="U82" t="str">
        <f>'Translate&amp;Prices&amp;Logo'!$B$26</f>
        <v>Modena INOX (stal nierdzewna) - maksymalna zalecana długość profilu 2500 mm</v>
      </c>
      <c r="AJ82" s="1">
        <v>40</v>
      </c>
    </row>
    <row r="83" spans="5:72" ht="14.85" hidden="1" customHeight="1">
      <c r="E83" s="75" t="e">
        <f ca="1"/>
        <v>#N/A</v>
      </c>
      <c r="I83" s="1" t="e">
        <f ca="1"/>
        <v>#N/A</v>
      </c>
      <c r="M83" s="1" t="e">
        <f ca="1"/>
        <v>#N/A</v>
      </c>
      <c r="U83" t="str">
        <f>'Translate&amp;Prices&amp;Logo'!$B$29</f>
        <v>Pisa (elox.) - maksymalna zalecana długość profilu 2500 mm</v>
      </c>
      <c r="AJ83" s="1">
        <v>40</v>
      </c>
      <c r="BT83" s="1"/>
    </row>
    <row r="84" spans="5:72" ht="14.85" hidden="1" customHeight="1">
      <c r="E84" s="75" t="e">
        <f ca="1"/>
        <v>#N/A</v>
      </c>
      <c r="I84" s="1" t="e">
        <f ca="1"/>
        <v>#N/A</v>
      </c>
      <c r="M84" s="1" t="e">
        <f ca="1"/>
        <v>#N/A</v>
      </c>
      <c r="U84" t="str">
        <f>'Translate&amp;Prices&amp;Logo'!$B$52</f>
        <v>Pisa biały matowy RAL 9003 - maksymalna zalecana zalecana długość profilu 2500 mm</v>
      </c>
      <c r="AJ84" s="1">
        <v>40</v>
      </c>
      <c r="BT84" s="1"/>
    </row>
    <row r="85" spans="5:72" ht="14.85" hidden="1" customHeight="1">
      <c r="E85" s="75" t="e">
        <f ca="1"/>
        <v>#N/A</v>
      </c>
      <c r="I85" s="1" t="e">
        <f ca="1"/>
        <v>#N/A</v>
      </c>
      <c r="M85" s="1" t="e">
        <f ca="1"/>
        <v>#N/A</v>
      </c>
      <c r="U85" t="str">
        <f>'Translate&amp;Prices&amp;Logo'!$B$53</f>
        <v>Pisa biały połysk RAL 9003 - maksymalna zalecana zalecana długość profilu 2500 mm</v>
      </c>
      <c r="AJ85" s="1">
        <v>40</v>
      </c>
      <c r="BT85" s="1"/>
    </row>
    <row r="86" spans="5:72" ht="14.85" hidden="1" customHeight="1">
      <c r="E86" s="75" t="e">
        <f ca="1"/>
        <v>#N/A</v>
      </c>
      <c r="I86" s="1" t="e">
        <f ca="1"/>
        <v>#N/A</v>
      </c>
      <c r="M86" s="1" t="e">
        <f ca="1"/>
        <v>#N/A</v>
      </c>
      <c r="U86" t="str">
        <f>'Translate&amp;Prices&amp;Logo'!$B$30</f>
        <v>Pisa Czarny matowy - maksymalna zalecana długość profilu 2500 mm</v>
      </c>
      <c r="AJ86" s="1">
        <v>40</v>
      </c>
      <c r="BT86" s="1"/>
    </row>
    <row r="87" spans="5:72" ht="14.85" hidden="1" customHeight="1">
      <c r="E87" s="75" t="e">
        <f ca="1"/>
        <v>#N/A</v>
      </c>
      <c r="I87" s="1" t="e">
        <f ca="1"/>
        <v>#N/A</v>
      </c>
      <c r="M87" s="1" t="e">
        <f ca="1"/>
        <v>#N/A</v>
      </c>
      <c r="U87" t="str">
        <f>'Translate&amp;Prices&amp;Logo'!$B$58</f>
        <v>Pisa złota - maksymalna zalecana długość profilu 2150 mm</v>
      </c>
      <c r="AJ87" s="1">
        <v>40</v>
      </c>
      <c r="BT87" s="1"/>
    </row>
    <row r="88" spans="5:72" ht="14.85" hidden="1" customHeight="1">
      <c r="E88" s="75" t="e">
        <f ca="1"/>
        <v>#N/A</v>
      </c>
      <c r="I88" s="1" t="e">
        <f ca="1"/>
        <v>#N/A</v>
      </c>
      <c r="M88" s="1" t="e">
        <f ca="1"/>
        <v>#N/A</v>
      </c>
      <c r="U88" t="str">
        <f>'Translate&amp;Prices&amp;Logo'!$B$50</f>
        <v>Rocca (elox.) - maksymalna zalecana zalecana długość profilu 2150 mm</v>
      </c>
      <c r="AJ88" s="1">
        <v>20</v>
      </c>
    </row>
    <row r="89" spans="5:72" ht="14.85" hidden="1" customHeight="1">
      <c r="E89" s="75" t="e">
        <f ca="1"/>
        <v>#N/A</v>
      </c>
      <c r="I89" s="1" t="e">
        <f ca="1"/>
        <v>#N/A</v>
      </c>
      <c r="M89" s="1" t="e">
        <f ca="1"/>
        <v>#N/A</v>
      </c>
      <c r="U89" t="str">
        <f>'Translate&amp;Prices&amp;Logo'!$B$42</f>
        <v>Rocca czarny matowy - maksymalna zalecana zalecana długość profilu 2150 mm</v>
      </c>
      <c r="AJ89" s="1">
        <v>20</v>
      </c>
    </row>
    <row r="90" spans="5:72" ht="14.85" hidden="1" customHeight="1">
      <c r="E90" s="75" t="e">
        <f ca="1"/>
        <v>#N/A</v>
      </c>
      <c r="I90" s="1" t="e">
        <f ca="1"/>
        <v>#N/A</v>
      </c>
      <c r="M90" s="1" t="e">
        <f ca="1"/>
        <v>#N/A</v>
      </c>
      <c r="U90" t="str">
        <f>'Translate&amp;Prices&amp;Logo'!$B$34</f>
        <v>Verona (elox.) - maksymalna zalecana zalecana długość profilu 2500 mm</v>
      </c>
      <c r="AJ90" s="1">
        <v>20</v>
      </c>
    </row>
    <row r="91" spans="5:72" ht="14.85" hidden="1" customHeight="1">
      <c r="E91" s="75" t="e">
        <f ca="1"/>
        <v>#N/A</v>
      </c>
      <c r="I91" s="1" t="e">
        <f ca="1"/>
        <v>#N/A</v>
      </c>
      <c r="M91" s="1" t="e">
        <f ca="1"/>
        <v>#N/A</v>
      </c>
      <c r="U91" t="str">
        <f>'Translate&amp;Prices&amp;Logo'!$B$35</f>
        <v>Verona szczotkowany - maksymalna zalecana zalecana długość profilu 2500 mm</v>
      </c>
      <c r="AJ91" s="1">
        <v>20</v>
      </c>
    </row>
    <row r="92" spans="5:72" ht="14.85" hidden="1" customHeight="1">
      <c r="E92" s="75" t="e">
        <f ca="1"/>
        <v>#N/A</v>
      </c>
      <c r="I92" s="1" t="e">
        <f ca="1"/>
        <v>#N/A</v>
      </c>
      <c r="M92" s="1" t="e">
        <f ca="1"/>
        <v>#N/A</v>
      </c>
      <c r="U92" t="str">
        <f>'Translate&amp;Prices&amp;Logo'!$B$37</f>
        <v>Verona czarny matowy - maksymalna zalecana zalecana długość profilu 2500 mm</v>
      </c>
      <c r="AJ92" s="1">
        <v>20</v>
      </c>
    </row>
    <row r="93" spans="5:72" ht="14.85" hidden="1" customHeight="1">
      <c r="E93" s="75" t="e">
        <f ca="1"/>
        <v>#N/A</v>
      </c>
      <c r="I93" s="1" t="e">
        <f ca="1"/>
        <v>#N/A</v>
      </c>
      <c r="M93" s="1" t="e">
        <f ca="1"/>
        <v>#N/A</v>
      </c>
      <c r="U93" t="str">
        <f>'Translate&amp;Prices&amp;Logo'!$B$36</f>
        <v>Verona czarny połysk - maksymalna zalecana zalecana długość profilu 2500 mm</v>
      </c>
      <c r="AJ93" s="1">
        <v>20</v>
      </c>
    </row>
    <row r="94" spans="5:72" ht="14.85" hidden="1" customHeight="1">
      <c r="E94" s="75" t="e">
        <f ca="1"/>
        <v>#N/A</v>
      </c>
      <c r="I94" s="1" t="e">
        <f ca="1"/>
        <v>#N/A</v>
      </c>
      <c r="M94" s="1" t="e">
        <f ca="1"/>
        <v>#N/A</v>
      </c>
      <c r="U94" t="str">
        <f>'Translate&amp;Prices&amp;Logo'!$B$38</f>
        <v>Verona braz - maksymalna zalecana zalecana długość profilu 2500 mm</v>
      </c>
      <c r="AJ94" s="1">
        <v>20</v>
      </c>
    </row>
    <row r="95" spans="5:72" ht="14.85" hidden="1" customHeight="1">
      <c r="E95" s="75" t="e">
        <f ca="1"/>
        <v>#N/A</v>
      </c>
      <c r="I95" s="1" t="e">
        <f ca="1"/>
        <v>#N/A</v>
      </c>
      <c r="M95" s="1" t="e">
        <f ca="1"/>
        <v>#N/A</v>
      </c>
      <c r="U95" t="str">
        <f>'Translate&amp;Prices&amp;Logo'!$B$39</f>
        <v>Verona szampański - maksymalna zalecana zalecana długość profilu 2500 mm</v>
      </c>
      <c r="AJ95" s="1">
        <v>20</v>
      </c>
    </row>
    <row r="96" spans="5:72" ht="14.85" hidden="1" customHeight="1">
      <c r="E96" s="75" t="e">
        <f ca="1"/>
        <v>#N/A</v>
      </c>
      <c r="I96" s="1" t="e">
        <f ca="1"/>
        <v>#N/A</v>
      </c>
      <c r="M96" s="1" t="e">
        <f ca="1"/>
        <v>#N/A</v>
      </c>
      <c r="U96" t="str">
        <f>'Translate&amp;Prices&amp;Logo'!$B$40</f>
        <v>Verona Inox szczotkowany - maksymalna zalecana zalecana długość profilu 2500 mm</v>
      </c>
      <c r="AJ96" s="1">
        <v>20</v>
      </c>
    </row>
    <row r="97" spans="5:36" ht="14.85" hidden="1" customHeight="1">
      <c r="E97" s="75" t="e">
        <f ca="1"/>
        <v>#N/A</v>
      </c>
      <c r="I97" s="1" t="e">
        <f ca="1"/>
        <v>#N/A</v>
      </c>
      <c r="M97" s="1" t="e">
        <f ca="1"/>
        <v>#N/A</v>
      </c>
      <c r="U97" t="str">
        <f>'Translate&amp;Prices&amp;Logo'!$B$41</f>
        <v>Verona Inox Acier szczotkowany - maksymalna zalecana zalecana długość profilu 2500 mm</v>
      </c>
      <c r="AJ97" s="1">
        <v>20</v>
      </c>
    </row>
    <row r="98" spans="5:36" ht="14.85" hidden="1" customHeight="1">
      <c r="E98" s="75" t="e">
        <f ca="1"/>
        <v>#N/A</v>
      </c>
      <c r="I98" s="1" t="e">
        <f ca="1"/>
        <v>#N/A</v>
      </c>
      <c r="M98" s="1" t="e">
        <f ca="1"/>
        <v>#N/A</v>
      </c>
      <c r="U98" t="str">
        <f>'Translate&amp;Prices&amp;Logo'!$B$24</f>
        <v>Verona złota - maksymalna zalecana długość profilu 2150 mm</v>
      </c>
      <c r="AJ98" s="1">
        <v>20</v>
      </c>
    </row>
    <row r="99" spans="5:36" ht="14.85" hidden="1" customHeight="1">
      <c r="E99" s="75" t="e">
        <f ca="1"/>
        <v>#N/A</v>
      </c>
      <c r="I99" s="1" t="e">
        <f ca="1"/>
        <v>#N/A</v>
      </c>
      <c r="M99" s="1" t="e">
        <f ca="1"/>
        <v>#N/A</v>
      </c>
      <c r="U99" t="str">
        <f>'Translate&amp;Prices&amp;Logo'!$B$56</f>
        <v>Verona złota szczotkowany - maksymalna zalecana zalecana długość profilu 2150 mm</v>
      </c>
      <c r="AJ99" s="1">
        <v>20</v>
      </c>
    </row>
    <row r="100" spans="5:36" ht="14.85" hidden="1" customHeight="1">
      <c r="E100" s="75" t="e">
        <f ca="1"/>
        <v>#N/A</v>
      </c>
      <c r="I100" s="1" t="e">
        <f ca="1"/>
        <v>#N/A</v>
      </c>
      <c r="M100" s="1" t="e">
        <f ca="1"/>
        <v>#N/A</v>
      </c>
      <c r="U100" t="str">
        <f>'Translate&amp;Prices&amp;Logo'!$B$43</f>
        <v>Vivaro (elox.) - maksymalna zalecana zalecana długość profilu 2500 mm</v>
      </c>
      <c r="AJ100" s="1">
        <v>45</v>
      </c>
    </row>
    <row r="101" spans="5:36" ht="14.85" hidden="1" customHeight="1">
      <c r="E101" s="75"/>
      <c r="U101" t="str">
        <f>'Translate&amp;Prices&amp;Logo'!$B$44</f>
        <v>Vivaro czarny matowy - maksymalna zalecana zalecana długość profilu 2500 mm</v>
      </c>
      <c r="AJ101" s="1">
        <v>45</v>
      </c>
    </row>
    <row r="102" spans="5:36" ht="14.85" hidden="1" customHeight="1">
      <c r="E102" s="75"/>
      <c r="U102" t="str">
        <f>'Translate&amp;Prices&amp;Logo'!$B$46</f>
        <v>Vivaro INOX (stal nierdzewna) - maksymalna zalecana zalecana długość profilu 2500 mm</v>
      </c>
      <c r="AJ102" s="1">
        <v>45</v>
      </c>
    </row>
    <row r="103" spans="5:36" ht="14.85" hidden="1" customHeight="1">
      <c r="E103" s="75"/>
      <c r="U103" t="str">
        <f>'Translate&amp;Prices&amp;Logo'!$B$47</f>
        <v>Vivaro biały matowy RAL 9003 - maksymalna zalecana zalecana długość profilu 2500 mm</v>
      </c>
      <c r="AJ103" s="1">
        <v>45</v>
      </c>
    </row>
    <row r="104" spans="5:36" ht="14.85" hidden="1" customHeight="1">
      <c r="E104" s="75"/>
      <c r="U104" t="str">
        <f>'Translate&amp;Prices&amp;Logo'!$B$48</f>
        <v>Vivaro biały połysk RAL 9003 - maksymalna zalecana zalecana długość profilu 2500 mm</v>
      </c>
      <c r="AJ104" s="1">
        <v>45</v>
      </c>
    </row>
    <row r="105" spans="5:36" ht="14.85" hidden="1" customHeight="1">
      <c r="E105" s="75"/>
      <c r="U105" t="str">
        <f>'Translate&amp;Prices&amp;Logo'!$B$31</f>
        <v>Vivaro złota - maksymalna zalecana zalecana długość profilu 2150 mm</v>
      </c>
      <c r="AJ105" s="1">
        <v>45</v>
      </c>
    </row>
    <row r="106" spans="5:36" ht="14.85" hidden="1" customHeight="1">
      <c r="U106" t="str">
        <f>'Translate&amp;Prices&amp;Logo'!$B$57</f>
        <v>Vivaro złota szczotkowany - maksymalna zalecana zalecana długość profilu 2150 mm</v>
      </c>
      <c r="AJ106" s="1">
        <v>45</v>
      </c>
    </row>
    <row r="107" spans="5:36" ht="14.85" hidden="1" customHeight="1">
      <c r="U107" t="str">
        <f>'Translate&amp;Prices&amp;Logo'!$B$80</f>
        <v>Rocca elox (lewa i prawa) + Varna elox (góra i dół)</v>
      </c>
      <c r="AJ107" s="1">
        <v>20</v>
      </c>
    </row>
    <row r="108" spans="5:36" ht="14.85" hidden="1" customHeight="1">
      <c r="U108" t="str">
        <f>'Translate&amp;Prices&amp;Logo'!$B$81</f>
        <v>Rocca czarny (lewa i prawa) + Varna czarny (góra i dół)</v>
      </c>
      <c r="AJ108" s="1">
        <v>20</v>
      </c>
    </row>
    <row r="109" spans="5:36" ht="14.85" hidden="1" customHeight="1">
      <c r="U109" t="str">
        <f>'Translate&amp;Prices&amp;Logo'!$B$71</f>
        <v>ROMA czarna matowa -  maksymalna zalecana długość profilu 2696 mm</v>
      </c>
      <c r="AJ109" s="1">
        <v>27</v>
      </c>
    </row>
    <row r="110" spans="5:36" ht="14.85" hidden="1" customHeight="1">
      <c r="U110" t="str">
        <f>'Translate&amp;Prices&amp;Logo'!$B$72</f>
        <v>ROMA champagne mat - maksymalna zalecana długość profilu 2696 mm</v>
      </c>
      <c r="AJ110" s="1">
        <v>27</v>
      </c>
    </row>
    <row r="111" spans="5:36" ht="14.85" hidden="1" customHeight="1">
      <c r="U111" t="str">
        <f>'Translate&amp;Prices&amp;Logo'!$B$73</f>
        <v>ROMA GRIP czarna matowa - maksymalna zalecana długość profilu 2696 mm</v>
      </c>
      <c r="AJ111" s="1">
        <v>27</v>
      </c>
    </row>
    <row r="112" spans="5:36" ht="14.85" hidden="1" customHeight="1">
      <c r="U112" t="str">
        <f>'Translate&amp;Prices&amp;Logo'!$B$74</f>
        <v>ROMA GRIP champagne mat - maksymalna zalecana długość profilu 2696 mm</v>
      </c>
      <c r="AJ112" s="1">
        <v>27</v>
      </c>
    </row>
  </sheetData>
  <sheetProtection algorithmName="SHA-512" hashValue="q9wBx7o5FWFDzIB2QG4AvU6OxUTKoUj4fDp+9APBdlXgbnVkHBL013KXh+dwxChOO2jb0R6CGz0RCnl0R9/PRg==" saltValue="odScHJ9G54R1MLSYfLqdwQ==" spinCount="100000" sheet="1" objects="1" scenarios="1"/>
  <mergeCells count="95">
    <mergeCell ref="AJ2:AN3"/>
    <mergeCell ref="S7:AC7"/>
    <mergeCell ref="AG22:AJ22"/>
    <mergeCell ref="AC22:AE22"/>
    <mergeCell ref="S22:AB22"/>
    <mergeCell ref="AB17:AC17"/>
    <mergeCell ref="AB15:AC15"/>
    <mergeCell ref="V11:W11"/>
    <mergeCell ref="S13:T13"/>
    <mergeCell ref="V13:W13"/>
    <mergeCell ref="S11:T11"/>
    <mergeCell ref="AB11:AC11"/>
    <mergeCell ref="Y13:Z13"/>
    <mergeCell ref="P2:AB3"/>
    <mergeCell ref="P4:AC5"/>
    <mergeCell ref="Y15:Z15"/>
    <mergeCell ref="AC28:AE28"/>
    <mergeCell ref="E48:F48"/>
    <mergeCell ref="AB9:AC9"/>
    <mergeCell ref="S26:AA26"/>
    <mergeCell ref="AC26:AE26"/>
    <mergeCell ref="S28:AA28"/>
    <mergeCell ref="AB13:AC13"/>
    <mergeCell ref="V9:W9"/>
    <mergeCell ref="Y11:Z11"/>
    <mergeCell ref="Y9:Z9"/>
    <mergeCell ref="I48:J48"/>
    <mergeCell ref="M48:N48"/>
    <mergeCell ref="B48:C48"/>
    <mergeCell ref="AL22:AM22"/>
    <mergeCell ref="E35:G37"/>
    <mergeCell ref="I35:K37"/>
    <mergeCell ref="M35:O37"/>
    <mergeCell ref="AG34:AJ34"/>
    <mergeCell ref="S30:AA30"/>
    <mergeCell ref="AC30:AE30"/>
    <mergeCell ref="AG30:AJ30"/>
    <mergeCell ref="S32:AA32"/>
    <mergeCell ref="AC32:AE32"/>
    <mergeCell ref="AG32:AJ32"/>
    <mergeCell ref="S34:AA34"/>
    <mergeCell ref="AG28:AJ28"/>
    <mergeCell ref="E26:G26"/>
    <mergeCell ref="I26:K26"/>
    <mergeCell ref="M26:O26"/>
    <mergeCell ref="B26:C26"/>
    <mergeCell ref="B39:C39"/>
    <mergeCell ref="B28:C28"/>
    <mergeCell ref="B30:C30"/>
    <mergeCell ref="I30:K30"/>
    <mergeCell ref="M30:O30"/>
    <mergeCell ref="E28:G28"/>
    <mergeCell ref="I28:K28"/>
    <mergeCell ref="M28:O28"/>
    <mergeCell ref="E30:G30"/>
    <mergeCell ref="E39:G40"/>
    <mergeCell ref="I39:K40"/>
    <mergeCell ref="M39:O40"/>
    <mergeCell ref="AC39:AJ39"/>
    <mergeCell ref="B32:C32"/>
    <mergeCell ref="B35:C35"/>
    <mergeCell ref="E32:G33"/>
    <mergeCell ref="I32:K33"/>
    <mergeCell ref="M32:O33"/>
    <mergeCell ref="AC34:AE34"/>
    <mergeCell ref="S39:AA47"/>
    <mergeCell ref="AG26:AJ26"/>
    <mergeCell ref="S37:U37"/>
    <mergeCell ref="W37:Z37"/>
    <mergeCell ref="I15:N15"/>
    <mergeCell ref="I17:N17"/>
    <mergeCell ref="C18:J18"/>
    <mergeCell ref="K18:N18"/>
    <mergeCell ref="M24:O24"/>
    <mergeCell ref="I24:K24"/>
    <mergeCell ref="AG24:AJ24"/>
    <mergeCell ref="E24:G24"/>
    <mergeCell ref="S24:AA24"/>
    <mergeCell ref="AC24:AE24"/>
    <mergeCell ref="C15:G15"/>
    <mergeCell ref="C17:G17"/>
    <mergeCell ref="Y17:Z17"/>
    <mergeCell ref="C9:G9"/>
    <mergeCell ref="C11:G11"/>
    <mergeCell ref="C13:G13"/>
    <mergeCell ref="I9:N9"/>
    <mergeCell ref="S9:T9"/>
    <mergeCell ref="I11:N11"/>
    <mergeCell ref="I13:N13"/>
    <mergeCell ref="I19:N21"/>
    <mergeCell ref="C19:G19"/>
    <mergeCell ref="S15:T15"/>
    <mergeCell ref="V15:W15"/>
    <mergeCell ref="S17:T17"/>
    <mergeCell ref="V17:W17"/>
  </mergeCells>
  <conditionalFormatting sqref="C19:G19">
    <cfRule type="expression" dxfId="245" priority="16">
      <formula>$I$17="Dostawa na adres"</formula>
    </cfRule>
  </conditionalFormatting>
  <conditionalFormatting sqref="H19">
    <cfRule type="expression" dxfId="243" priority="15">
      <formula>I17="Dostawa na adres"</formula>
    </cfRule>
  </conditionalFormatting>
  <conditionalFormatting sqref="K20">
    <cfRule type="expression" dxfId="241" priority="694">
      <formula>#REF!="Dostawa na adres"</formula>
    </cfRule>
  </conditionalFormatting>
  <conditionalFormatting sqref="K19:L19 I19:J21 M19:N21 K21:L21">
    <cfRule type="expression" dxfId="240" priority="14">
      <formula>I17="Dostawa na adres"</formula>
    </cfRule>
  </conditionalFormatting>
  <conditionalFormatting sqref="L20">
    <cfRule type="expression" dxfId="239" priority="693">
      <formula>K18="Dostawa na adres"</formula>
    </cfRule>
  </conditionalFormatting>
  <conditionalFormatting sqref="S37">
    <cfRule type="expression" dxfId="238" priority="9">
      <formula>I17="Dostawa na adres"</formula>
    </cfRule>
  </conditionalFormatting>
  <conditionalFormatting sqref="S39:AA47">
    <cfRule type="expression" dxfId="237" priority="695">
      <formula>$AP$37=1</formula>
    </cfRule>
  </conditionalFormatting>
  <conditionalFormatting sqref="U86:U87 U100:U105 U109:U112 U57:U69 U71:U83 U90:U92 U94:U98">
    <cfRule type="expression" dxfId="236" priority="6" stopIfTrue="1">
      <formula>AND(COUNTIF($A$37:$A$41, U57)+COUNTIF($A$3:$A$15, U57)+COUNTIF($A$17:$A$31, U57)+COUNTIF($A$33:$A$35, U57)+COUNTIF($A$43:$A$47, U57)+COUNTIF($A$49:$A$54, U57)+COUNTIF($A$56:$A$99, U57)&gt;1,NOT(ISBLANK(U57)))</formula>
    </cfRule>
  </conditionalFormatting>
  <conditionalFormatting sqref="U87 U105 U109:U112">
    <cfRule type="expression" dxfId="235" priority="5" stopIfTrue="1">
      <formula>AND(COUNTIF($A$54:$A$54, U87)+COUNTIF($A$56:$A$59, U87)+COUNTIF($A$34:$A$34, U87)&gt;1,NOT(ISBLANK(U87)))</formula>
    </cfRule>
  </conditionalFormatting>
  <conditionalFormatting sqref="V37">
    <cfRule type="expression" dxfId="234" priority="10">
      <formula>I17="Dostawa na adres"</formula>
    </cfRule>
  </conditionalFormatting>
  <conditionalFormatting sqref="W37">
    <cfRule type="expression" dxfId="233" priority="8">
      <formula>I17="Dostawa na adres"</formula>
    </cfRule>
  </conditionalFormatting>
  <conditionalFormatting sqref="AA37">
    <cfRule type="expression" dxfId="232" priority="7">
      <formula>I17="Dostawa na adres"</formula>
    </cfRule>
  </conditionalFormatting>
  <conditionalFormatting sqref="AC24:AE24 AC26:AE26 AC28:AE28 AC30:AE30 AC32:AE32 AC34:AE34">
    <cfRule type="cellIs" dxfId="231" priority="34" operator="equal">
      <formula>0</formula>
    </cfRule>
  </conditionalFormatting>
  <conditionalFormatting sqref="AF24 AF26 AF28 AF30 AF32 AF34">
    <cfRule type="expression" dxfId="230" priority="227">
      <formula>$AG24&gt;0</formula>
    </cfRule>
  </conditionalFormatting>
  <conditionalFormatting sqref="AK24">
    <cfRule type="cellIs" dxfId="229" priority="30" operator="equal">
      <formula>0</formula>
    </cfRule>
  </conditionalFormatting>
  <conditionalFormatting sqref="AK26">
    <cfRule type="cellIs" dxfId="228" priority="29" operator="equal">
      <formula>0</formula>
    </cfRule>
  </conditionalFormatting>
  <conditionalFormatting sqref="AK28">
    <cfRule type="cellIs" dxfId="227" priority="28" operator="equal">
      <formula>0</formula>
    </cfRule>
  </conditionalFormatting>
  <conditionalFormatting sqref="AK30">
    <cfRule type="cellIs" dxfId="226" priority="27" operator="equal">
      <formula>0</formula>
    </cfRule>
  </conditionalFormatting>
  <conditionalFormatting sqref="AK32">
    <cfRule type="cellIs" dxfId="225" priority="26" operator="equal">
      <formula>0</formula>
    </cfRule>
  </conditionalFormatting>
  <conditionalFormatting sqref="AK34">
    <cfRule type="cellIs" dxfId="224" priority="25" operator="equal">
      <formula>0</formula>
    </cfRule>
  </conditionalFormatting>
  <conditionalFormatting sqref="AK37">
    <cfRule type="cellIs" dxfId="223" priority="33" operator="equal">
      <formula>0</formula>
    </cfRule>
  </conditionalFormatting>
  <conditionalFormatting sqref="AK39">
    <cfRule type="cellIs" dxfId="222" priority="31" operator="equal">
      <formula>0</formula>
    </cfRule>
  </conditionalFormatting>
  <conditionalFormatting sqref="BT30:BV30">
    <cfRule type="cellIs" dxfId="221" priority="2" operator="greaterThan">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$U$57:$U$112</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333375</xdr:colOff>
                    <xdr:row>20</xdr:row>
                    <xdr:rowOff>180975</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2" id="{15600A83-ECF6-4B53-9F3E-430E57CDC678}">
            <xm:f>Hlavní!V39=3</xm:f>
            <x14:dxf>
              <fill>
                <patternFill>
                  <bgColor theme="2"/>
                </patternFill>
              </fill>
            </x14:dxf>
          </x14:cfRule>
          <xm:sqref>H17</xm:sqref>
        </x14:conditionalFormatting>
        <x14:conditionalFormatting xmlns:xm="http://schemas.microsoft.com/office/excel/2006/main">
          <x14:cfRule type="expression" priority="11" id="{93B468E8-D8B2-438F-AA89-5EE34535F192}">
            <xm:f>Hlavní!V39=3</xm:f>
            <x14:dxf>
              <fill>
                <patternFill>
                  <bgColor rgb="FF009EE0"/>
                </patternFill>
              </fill>
            </x14:dxf>
          </x14:cfRule>
          <xm:sqref>I17:N17</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EDF8-FDF7-4DC6-A3E1-2D10FD0EDB8B}">
  <sheetPr>
    <tabColor rgb="FF00B0F0"/>
  </sheetPr>
  <dimension ref="C1:AJ109"/>
  <sheetViews>
    <sheetView topLeftCell="F70" workbookViewId="0">
      <selection activeCell="W109" sqref="W109"/>
    </sheetView>
  </sheetViews>
  <sheetFormatPr defaultColWidth="7.7109375" defaultRowHeight="14.85" customHeight="1"/>
  <cols>
    <col min="1" max="5" width="7.7109375" style="11" customWidth="1"/>
    <col min="6" max="6" width="14.42578125" style="11" customWidth="1"/>
    <col min="7" max="9" width="7.7109375" style="11" customWidth="1"/>
    <col min="10" max="10" width="10.5703125" style="11" customWidth="1"/>
    <col min="11" max="12" width="7.7109375" style="11" customWidth="1"/>
    <col min="13" max="13" width="9.42578125" style="11" customWidth="1"/>
    <col min="14" max="14" width="8.5703125" style="11" bestFit="1" customWidth="1"/>
    <col min="15" max="15" width="7.7109375" style="11" customWidth="1"/>
    <col min="16" max="17" width="9.7109375" style="11" customWidth="1"/>
    <col min="18" max="18" width="18.28515625" style="11" customWidth="1"/>
    <col min="19" max="23" width="13.28515625" style="11" customWidth="1"/>
    <col min="24" max="24" width="9.5703125" style="11" bestFit="1" customWidth="1"/>
    <col min="25" max="26" width="10.28515625" style="11" bestFit="1" customWidth="1"/>
    <col min="27" max="27" width="13.28515625" style="11" customWidth="1"/>
    <col min="28" max="28" width="11.5703125" style="11" customWidth="1"/>
    <col min="29" max="16384" width="7.7109375" style="11"/>
  </cols>
  <sheetData>
    <row r="1" spans="20:26" ht="8.85" customHeight="1"/>
    <row r="2" spans="20:26" ht="11.85" customHeight="1"/>
    <row r="3" spans="20:26" ht="15"/>
    <row r="4" spans="20:26" ht="15"/>
    <row r="5" spans="20:26" ht="15"/>
    <row r="6" spans="20:26" ht="15"/>
    <row r="7" spans="20:26" ht="15"/>
    <row r="8" spans="20:26" ht="15"/>
    <row r="9" spans="20:26" ht="15"/>
    <row r="10" spans="20:26" ht="15"/>
    <row r="11" spans="20:26" ht="15">
      <c r="T11" s="486" t="s">
        <v>4553</v>
      </c>
      <c r="U11" s="487">
        <v>800</v>
      </c>
      <c r="V11" s="487">
        <v>800</v>
      </c>
      <c r="W11" s="487">
        <v>1499</v>
      </c>
      <c r="X11" s="487">
        <v>1999</v>
      </c>
      <c r="Y11" s="487">
        <v>2300</v>
      </c>
      <c r="Z11" s="487">
        <v>2800</v>
      </c>
    </row>
    <row r="12" spans="20:26" ht="15"/>
    <row r="13" spans="20:26" ht="15">
      <c r="T13" s="486" t="s">
        <v>4553</v>
      </c>
      <c r="U13" s="487">
        <v>600</v>
      </c>
      <c r="V13" s="487">
        <v>800</v>
      </c>
      <c r="W13" s="487">
        <v>600</v>
      </c>
      <c r="X13" s="824">
        <v>910</v>
      </c>
      <c r="Y13" s="825"/>
      <c r="Z13" s="826"/>
    </row>
    <row r="14" spans="20:26" ht="16.5" customHeight="1"/>
    <row r="15" spans="20:26" ht="15"/>
    <row r="16" spans="20:26" ht="18.75" customHeight="1"/>
    <row r="17" spans="3:36" ht="15.75" thickBot="1"/>
    <row r="18" spans="3:36" ht="20.25" customHeight="1">
      <c r="T18" s="516" t="s">
        <v>4554</v>
      </c>
      <c r="U18" s="477"/>
      <c r="V18" s="477"/>
      <c r="W18" s="477"/>
      <c r="X18" s="477"/>
      <c r="Y18" s="477"/>
      <c r="Z18" s="477"/>
      <c r="AB18" s="11">
        <f>IF(Posuv!I17="Dostawa na adres",Hlavní!V39,0)</f>
        <v>0</v>
      </c>
    </row>
    <row r="19" spans="3:36" ht="14.85" customHeight="1" thickBot="1">
      <c r="T19" s="517" t="str">
        <f>J25</f>
        <v>Min</v>
      </c>
      <c r="U19" s="477"/>
      <c r="V19" s="477"/>
      <c r="W19" s="477"/>
      <c r="X19" s="477"/>
      <c r="Y19" s="477"/>
      <c r="Z19" s="477"/>
    </row>
    <row r="20" spans="3:36" s="354" customFormat="1" ht="11.45" customHeight="1">
      <c r="T20" s="486" t="s">
        <v>4555</v>
      </c>
      <c r="U20" s="487">
        <v>39.799999999999997</v>
      </c>
      <c r="V20" s="487">
        <v>49.5</v>
      </c>
      <c r="W20" s="487">
        <v>106</v>
      </c>
      <c r="X20" s="487">
        <v>297.5</v>
      </c>
      <c r="Y20" s="487">
        <v>351</v>
      </c>
      <c r="Z20" s="487">
        <v>456.5</v>
      </c>
    </row>
    <row r="21" spans="3:36" ht="14.85" customHeight="1">
      <c r="T21" s="425"/>
      <c r="U21" s="426" t="s">
        <v>4632</v>
      </c>
      <c r="V21" s="426" t="s">
        <v>4556</v>
      </c>
      <c r="W21" s="426" t="s">
        <v>4557</v>
      </c>
      <c r="X21" s="427" t="s">
        <v>4558</v>
      </c>
      <c r="Y21" s="427" t="s">
        <v>4559</v>
      </c>
      <c r="Z21" s="428" t="s">
        <v>4560</v>
      </c>
    </row>
    <row r="22" spans="3:36" ht="14.85" customHeight="1">
      <c r="T22" s="430" t="s">
        <v>4562</v>
      </c>
      <c r="U22" s="518">
        <v>3</v>
      </c>
      <c r="V22" s="431">
        <v>3</v>
      </c>
      <c r="W22" s="431">
        <v>2</v>
      </c>
      <c r="X22" s="831">
        <v>20</v>
      </c>
      <c r="Y22" s="832"/>
      <c r="Z22" s="833"/>
    </row>
    <row r="23" spans="3:36" ht="15.75" customHeight="1"/>
    <row r="24" spans="3:36" ht="14.85" customHeight="1">
      <c r="C24" s="1"/>
      <c r="D24" s="1"/>
      <c r="E24" s="1"/>
      <c r="F24" s="1"/>
      <c r="G24" s="1"/>
      <c r="H24" s="1"/>
      <c r="I24" s="19"/>
      <c r="J24" s="19"/>
      <c r="K24" s="1"/>
      <c r="L24" s="1"/>
      <c r="M24" s="1"/>
      <c r="N24" s="1"/>
      <c r="O24" s="1"/>
      <c r="P24" s="1"/>
      <c r="R24" s="555" t="s">
        <v>4629</v>
      </c>
      <c r="S24" s="1"/>
    </row>
    <row r="25" spans="3:36" ht="14.85" customHeight="1">
      <c r="I25" s="361" t="s">
        <v>4625</v>
      </c>
      <c r="J25" s="515" t="s">
        <v>4626</v>
      </c>
      <c r="K25" s="1" t="s">
        <v>4627</v>
      </c>
      <c r="L25" s="830" t="s">
        <v>4628</v>
      </c>
      <c r="M25" s="830"/>
      <c r="N25" s="830"/>
      <c r="O25" s="830"/>
      <c r="P25" s="830"/>
      <c r="Q25" s="830"/>
      <c r="R25" s="555"/>
      <c r="S25" s="1"/>
      <c r="AC25" s="19"/>
      <c r="AD25" s="19" t="s">
        <v>4567</v>
      </c>
      <c r="AE25" s="19" t="s">
        <v>4610</v>
      </c>
    </row>
    <row r="26" spans="3:36" ht="14.85" customHeight="1">
      <c r="D26" s="1"/>
      <c r="E26" s="1"/>
      <c r="F26" s="13" t="s">
        <v>3741</v>
      </c>
      <c r="G26" s="13">
        <f>Posuv!E26</f>
        <v>0</v>
      </c>
      <c r="H26" s="13">
        <f>Posuv!E28</f>
        <v>0</v>
      </c>
      <c r="I26" s="361">
        <f>MAX(G26:H26)</f>
        <v>0</v>
      </c>
      <c r="J26" s="515">
        <f>MIN(G26:H26)</f>
        <v>0</v>
      </c>
      <c r="K26" s="1">
        <f>Posuv!E30</f>
        <v>0</v>
      </c>
      <c r="L26" s="515" t="str">
        <f>IF(AND(IF($J26&lt;=U$13,"balík 0","ne")="balík 0",IF($I26&lt;=U$11,"balík 0","ne")="balík 0",$U$21="balík 0"),"balík 0","ne")</f>
        <v>balík 0</v>
      </c>
      <c r="M26" s="13" t="str">
        <f>IF(AND(IF($J26&lt;=V$13,"balík A","ne")="balík A",IF($I26&lt;=V$11,"balík A","ne")="balík A",$V$21="balík A"),"balík A","ne")</f>
        <v>balík A</v>
      </c>
      <c r="N26" s="13" t="str">
        <f>IF(AND(IF($J26&lt;=W$13,"balík B","ne")="balík B",IF($I26&lt;=W$11,"balík B","ne")="balík B",$W$21="balík B"),"balík B","ne")</f>
        <v>balík B</v>
      </c>
      <c r="O26" s="13" t="str">
        <f>IF(AND(IF($J26&lt;=X$13,"paleta A","ne")="paleta A",IF($I26&lt;=X$11,"paleta A","ne")="paleta A",$X$21="paleta A"),"paleta A","ne")</f>
        <v>paleta A</v>
      </c>
      <c r="P26" s="13" t="str">
        <f>IF(AND(IF($J26&lt;=X$13,"paleta B","ne")="paleta B",IF($I26&lt;=Y$11,"paleta B","ne")="paleta B",$Y$21="paleta B"),"paleta B","ne")</f>
        <v>paleta B</v>
      </c>
      <c r="Q26" s="13" t="str">
        <f>IF(AND(IF($J26&lt;=X$13,"paleta C","ne")="paleta C",IF($I26&lt;=Z$11,"paleta C","ne")="paleta C",$Z$21="paleta C"),"paleta C","ne")</f>
        <v>paleta C</v>
      </c>
      <c r="R26" s="1" t="str">
        <f>IF(L26&lt;&gt;"ne",L26,IF(M26&lt;&gt;"NE",M26,IF(N26&lt;&gt;"NE",N26,IF(O26&lt;&gt;"NE",O26,IF(P26&lt;&gt;"Ne",P26,IF(Q26&lt;&gt;"Ne",Q26,"ne"))))))</f>
        <v>balík 0</v>
      </c>
      <c r="S26" s="13" t="str">
        <f>_xlfn.TEXTBEFORE(R26," ")</f>
        <v>balík</v>
      </c>
      <c r="T26" s="13"/>
      <c r="U26" s="13">
        <f>IF($AB$18&lt;&gt;3,0,IFERROR((IF(R26=$U$21,K26,0)),0))</f>
        <v>0</v>
      </c>
      <c r="V26" s="13">
        <f>IF($AB$18&lt;&gt;3,0,IFERROR((IF(R26=$V$21,K26,0)),0))</f>
        <v>0</v>
      </c>
      <c r="W26" s="13">
        <f>IF($AB$18&lt;&gt;3,0,IFERROR((IF(R26=$W$21,K26,0)),0))</f>
        <v>0</v>
      </c>
      <c r="X26" s="13">
        <f>IF($AB$18&lt;&gt;3,0,IFERROR((IF(R26=$X$21,K26,0)),0))</f>
        <v>0</v>
      </c>
      <c r="Y26" s="13">
        <f>IF($AB$18&lt;&gt;3,0,IFERROR((IF(R26=$Y$21,K26,0)),0))</f>
        <v>0</v>
      </c>
      <c r="Z26" s="13">
        <f>IF($AB$18&lt;&gt;3,0,IFERROR((IF(R26=$Z$21,K26,0)),0))</f>
        <v>0</v>
      </c>
      <c r="AC26" s="438" t="s">
        <v>4569</v>
      </c>
      <c r="AD26" s="19">
        <f>Posuv!E30</f>
        <v>0</v>
      </c>
      <c r="AE26" s="502">
        <f>IF(Posuv!E30&gt;0,IF(Posuv!E35&lt;&gt;"",1,2),0)</f>
        <v>0</v>
      </c>
      <c r="AG26" s="11">
        <f>IF(AD26&gt;0,1,0)</f>
        <v>0</v>
      </c>
    </row>
    <row r="27" spans="3:36" ht="14.85" customHeight="1">
      <c r="D27" s="1"/>
      <c r="E27" s="1"/>
      <c r="F27" s="13" t="s">
        <v>3742</v>
      </c>
      <c r="G27" s="13">
        <f>Posuv!I26</f>
        <v>0</v>
      </c>
      <c r="H27" s="13">
        <f>Posuv!I28</f>
        <v>0</v>
      </c>
      <c r="I27" s="361">
        <f t="shared" ref="I27:I28" si="0">MAX(G27:H27)</f>
        <v>0</v>
      </c>
      <c r="J27" s="515">
        <f t="shared" ref="J27:J28" si="1">MIN(G27:H27)</f>
        <v>0</v>
      </c>
      <c r="K27" s="1">
        <f>Posuv!I30</f>
        <v>0</v>
      </c>
      <c r="L27" s="515" t="str">
        <f>IF(AND(IF($J27&lt;=U$13,"balík 0","ne")="balík 0",IF($I27&lt;=U$11,"balík 0","ne")="balík 0",$U$21="balík 0"),"balík 0","ne")</f>
        <v>balík 0</v>
      </c>
      <c r="M27" s="13" t="str">
        <f>IF(AND(IF($J27&lt;=V$13,"balík A","ne")="balík A",IF($I27&lt;=V$11,"balík A","ne")="balík A",$V$21="balík A"),"balík A","ne")</f>
        <v>balík A</v>
      </c>
      <c r="N27" s="13" t="str">
        <f>IF(AND(IF($J27&lt;=W$13,"balík B","ne")="balík B",IF($I27&lt;=W$11,"balík B","ne")="balík B",$W$21="balík B"),"balík B","ne")</f>
        <v>balík B</v>
      </c>
      <c r="O27" s="13" t="str">
        <f>IF(AND(IF($J27&lt;=X$13,"paleta A","ne")="paleta A",IF($I27&lt;=X$11,"paleta A","ne")="paleta A",$X$21="paleta A"),"paleta A","ne")</f>
        <v>paleta A</v>
      </c>
      <c r="P27" s="13" t="str">
        <f>IF(AND(IF($J27&lt;=X$13,"paleta B","ne")="paleta B",IF($I27&lt;=Y$11,"paleta B","ne")="paleta B",$Y$21="paleta B"),"paleta B","ne")</f>
        <v>paleta B</v>
      </c>
      <c r="Q27" s="13" t="str">
        <f>IF(AND(IF($J27&lt;=X$13,"paleta C","ne")="paleta C",IF($I27&lt;=Z$11,"paleta C","ne")="paleta C",$Z$21="paleta C"),"paleta C","ne")</f>
        <v>paleta C</v>
      </c>
      <c r="R27" s="1" t="str">
        <f t="shared" ref="R27:R28" si="2">IF(L27&lt;&gt;"ne",L27,IF(M27&lt;&gt;"NE",M27,IF(N27&lt;&gt;"NE",N27,IF(O27&lt;&gt;"NE",O27,IF(P27&lt;&gt;"Ne",P27,IF(Q27&lt;&gt;"Ne",Q27,"ne"))))))</f>
        <v>balík 0</v>
      </c>
      <c r="S27" s="13" t="str">
        <f>_xlfn.TEXTBEFORE(R27," ")</f>
        <v>balík</v>
      </c>
      <c r="T27" s="13"/>
      <c r="U27" s="13">
        <f t="shared" ref="U27:U28" si="3">IF($AB$18&lt;&gt;3,0,IFERROR((IF(R27=$U$21,K27,0)),0))</f>
        <v>0</v>
      </c>
      <c r="V27" s="13">
        <f t="shared" ref="V27:V28" si="4">IF($AB$18&lt;&gt;3,0,IFERROR((IF(R27=$V$21,K27,0)),0))</f>
        <v>0</v>
      </c>
      <c r="W27" s="13">
        <f t="shared" ref="W27:W28" si="5">IF($AB$18&lt;&gt;3,0,IFERROR((IF(R27=$W$21,K27,0)),0))</f>
        <v>0</v>
      </c>
      <c r="X27" s="13">
        <f t="shared" ref="X27:X28" si="6">IF($AB$18&lt;&gt;3,0,IFERROR((IF(R27=$X$21,K27,0)),0))</f>
        <v>0</v>
      </c>
      <c r="Y27" s="13">
        <f t="shared" ref="Y27:Y28" si="7">IF($AB$18&lt;&gt;3,0,IFERROR((IF(R27=$Y$21,K27,0)),0))</f>
        <v>0</v>
      </c>
      <c r="Z27" s="13">
        <f t="shared" ref="Z27:Z28" si="8">IF($AB$18&lt;&gt;3,0,IFERROR((IF(R27=$Z$21,K27,0)),0))</f>
        <v>0</v>
      </c>
      <c r="AC27" s="438" t="s">
        <v>4570</v>
      </c>
      <c r="AD27" s="19">
        <f>Posuv!I30</f>
        <v>0</v>
      </c>
      <c r="AE27" s="502">
        <f>IF(Posuv!I30&gt;0,IF(Posuv!I35&lt;&gt;"",1,2),0)</f>
        <v>0</v>
      </c>
      <c r="AG27" s="11">
        <f t="shared" ref="AG27:AG28" si="9">IF(AD27&gt;0,1,0)</f>
        <v>0</v>
      </c>
    </row>
    <row r="28" spans="3:36" ht="14.85" customHeight="1">
      <c r="D28" s="1"/>
      <c r="E28" s="1"/>
      <c r="F28" s="13" t="s">
        <v>3743</v>
      </c>
      <c r="G28" s="13">
        <f>Posuv!M26</f>
        <v>0</v>
      </c>
      <c r="H28" s="361">
        <f>Posuv!M28</f>
        <v>0</v>
      </c>
      <c r="I28" s="361">
        <f t="shared" si="0"/>
        <v>0</v>
      </c>
      <c r="J28" s="515">
        <f t="shared" si="1"/>
        <v>0</v>
      </c>
      <c r="K28" s="1">
        <f>Posuv!M30</f>
        <v>0</v>
      </c>
      <c r="L28" s="515" t="str">
        <f>IF(AND(IF($J28&lt;=U$13,"balík 0","ne")="balík 0",IF($I28&lt;=U$11,"balík 0","ne")="balík 0",$U$21="balík 0"),"balík 0","ne")</f>
        <v>balík 0</v>
      </c>
      <c r="M28" s="13" t="str">
        <f>IF(AND(IF($J28&lt;=V$13,"balík A","ne")="balík A",IF($I28&lt;=V$11,"balík A","ne")="balík A",$V$21="balík A"),"balík A","ne")</f>
        <v>balík A</v>
      </c>
      <c r="N28" s="13" t="str">
        <f>IF(AND(IF($J28&lt;=W$13,"balík B","ne")="balík B",IF($I28&lt;=W$11,"balík B","ne")="balík B",$W$21="balík B"),"balík B","ne")</f>
        <v>balík B</v>
      </c>
      <c r="O28" s="13" t="str">
        <f>IF(AND(IF($J28&lt;=X$13,"paleta A","ne")="paleta A",IF($I28&lt;=X$11,"paleta A","ne")="paleta A",$X$21="paleta A"),"paleta A","ne")</f>
        <v>paleta A</v>
      </c>
      <c r="P28" s="13" t="str">
        <f>IF(AND(IF($J28&lt;=X$13,"paleta B","ne")="paleta B",IF($I28&lt;=Y$11,"paleta B","ne")="paleta B",$Y$21="paleta B"),"paleta B","ne")</f>
        <v>paleta B</v>
      </c>
      <c r="Q28" s="13" t="str">
        <f>IF(AND(IF($J28&lt;=X$13,"paleta C","ne")="paleta C",IF($I28&lt;=Z$11,"paleta C","ne")="paleta C",$Z$21="paleta C"),"paleta C","ne")</f>
        <v>paleta C</v>
      </c>
      <c r="R28" s="1" t="str">
        <f t="shared" si="2"/>
        <v>balík 0</v>
      </c>
      <c r="S28" s="13" t="str">
        <f>_xlfn.TEXTBEFORE(R28," ")</f>
        <v>balík</v>
      </c>
      <c r="T28" s="13"/>
      <c r="U28" s="13">
        <f t="shared" si="3"/>
        <v>0</v>
      </c>
      <c r="V28" s="13">
        <f t="shared" si="4"/>
        <v>0</v>
      </c>
      <c r="W28" s="13">
        <f t="shared" si="5"/>
        <v>0</v>
      </c>
      <c r="X28" s="13">
        <f t="shared" si="6"/>
        <v>0</v>
      </c>
      <c r="Y28" s="13">
        <f t="shared" si="7"/>
        <v>0</v>
      </c>
      <c r="Z28" s="13">
        <f t="shared" si="8"/>
        <v>0</v>
      </c>
      <c r="AC28" s="438" t="s">
        <v>4571</v>
      </c>
      <c r="AD28" s="19">
        <f>Posuv!M30</f>
        <v>0</v>
      </c>
      <c r="AE28" s="502">
        <f>IF(Posuv!M30&gt;0,IF(Posuv!M35&lt;&gt;"",1,2),0)</f>
        <v>0</v>
      </c>
      <c r="AG28" s="11">
        <f t="shared" si="9"/>
        <v>0</v>
      </c>
    </row>
    <row r="29" spans="3:36" ht="14.85" customHeight="1">
      <c r="D29" s="1"/>
      <c r="E29" s="1"/>
      <c r="F29" s="471"/>
      <c r="G29" s="1"/>
      <c r="H29" s="1"/>
      <c r="I29" s="19"/>
      <c r="J29" s="19" t="str">
        <f>IF(AH29=1,IF(OR(J26&gt;910,J27&gt;910,J28&gt;910),1,""),"")</f>
        <v/>
      </c>
      <c r="K29" s="1">
        <f>SUM(K26:K28)</f>
        <v>0</v>
      </c>
      <c r="L29" s="1"/>
      <c r="M29" s="1"/>
      <c r="N29" s="1"/>
      <c r="O29" s="1"/>
      <c r="P29" s="1"/>
      <c r="R29" s="1" t="str">
        <f>IFERROR((VLOOKUP("ne",R26:R28,1,0)),"ano")</f>
        <v>ano</v>
      </c>
      <c r="S29" s="1" t="str">
        <f>IF(SUM(K26:K28)&lt;21,IF(OR(S26="paleta",S27="paleta",S28="paleta"),"paleta",""),"")</f>
        <v/>
      </c>
      <c r="T29" s="1"/>
      <c r="U29" s="1"/>
      <c r="V29" s="1">
        <f>SUM(U26:W28)</f>
        <v>0</v>
      </c>
      <c r="W29" s="1"/>
      <c r="Y29" s="1">
        <f>SUM(X26:Z28)</f>
        <v>0</v>
      </c>
      <c r="AE29" s="11">
        <f>SUM(AE26:AE28)</f>
        <v>0</v>
      </c>
      <c r="AG29" s="11">
        <f>SUM(AG26:AG28)</f>
        <v>0</v>
      </c>
      <c r="AH29" s="519">
        <f>IF(AE29=AG29,1,IF(AG29=(AE29/2),2,0))</f>
        <v>1</v>
      </c>
      <c r="AI29" s="519">
        <v>0</v>
      </c>
      <c r="AJ29" s="11" t="s">
        <v>4613</v>
      </c>
    </row>
    <row r="30" spans="3:36" ht="15">
      <c r="D30" s="1"/>
      <c r="E30" s="1"/>
      <c r="F30" s="471"/>
      <c r="G30" s="1"/>
      <c r="H30" s="1"/>
      <c r="I30" s="19"/>
      <c r="J30" s="19"/>
      <c r="K30" s="1"/>
      <c r="L30" s="1"/>
      <c r="M30" s="1"/>
      <c r="N30" s="1"/>
      <c r="O30" s="1"/>
      <c r="P30" s="1"/>
      <c r="Q30" s="1"/>
      <c r="R30" s="1"/>
      <c r="S30" s="1"/>
      <c r="T30" s="1"/>
      <c r="U30" s="1"/>
      <c r="V30" s="1"/>
      <c r="W30" s="1"/>
      <c r="X30" s="496"/>
      <c r="Y30" s="496"/>
      <c r="Z30" s="496"/>
      <c r="AI30" s="519">
        <v>1</v>
      </c>
      <c r="AJ30" s="11" t="s">
        <v>4611</v>
      </c>
    </row>
    <row r="31" spans="3:36" ht="14.85" customHeight="1">
      <c r="C31" s="1"/>
      <c r="D31" s="1"/>
      <c r="E31" s="1"/>
      <c r="F31" s="1"/>
      <c r="G31" s="1"/>
      <c r="H31" s="1"/>
      <c r="I31" s="19"/>
      <c r="J31" s="19"/>
      <c r="K31" s="1"/>
      <c r="L31" s="1"/>
      <c r="M31" s="1"/>
      <c r="N31" s="1"/>
      <c r="O31" s="1"/>
      <c r="P31" s="1"/>
      <c r="Q31" s="1"/>
      <c r="R31" s="1"/>
      <c r="S31" s="829" t="s">
        <v>4638</v>
      </c>
      <c r="T31" s="1">
        <v>31</v>
      </c>
      <c r="U31" s="1">
        <f t="shared" ref="U31:V31" si="10">SUM(U26:U28)</f>
        <v>0</v>
      </c>
      <c r="V31" s="1">
        <f t="shared" si="10"/>
        <v>0</v>
      </c>
      <c r="W31" s="1">
        <f>SUM(W26:W28)</f>
        <v>0</v>
      </c>
      <c r="X31" s="1"/>
      <c r="AA31" s="11" t="s">
        <v>4636</v>
      </c>
      <c r="AI31" s="519">
        <v>2</v>
      </c>
      <c r="AJ31" s="11" t="s">
        <v>4612</v>
      </c>
    </row>
    <row r="32" spans="3:36" ht="14.85" customHeight="1">
      <c r="C32" s="1"/>
      <c r="D32" s="1"/>
      <c r="E32" s="1"/>
      <c r="F32" s="1"/>
      <c r="G32" s="1"/>
      <c r="H32" s="1"/>
      <c r="I32" s="19"/>
      <c r="J32" s="19"/>
      <c r="K32" s="1"/>
      <c r="L32" s="1"/>
      <c r="M32" s="1"/>
      <c r="N32" s="1"/>
      <c r="O32" s="1"/>
      <c r="P32" s="1"/>
      <c r="Q32" s="1"/>
      <c r="R32" s="1"/>
      <c r="S32" s="829"/>
      <c r="T32" s="1">
        <v>32</v>
      </c>
      <c r="U32" s="1">
        <f>FLOOR(IF(U$31=0,0,IF(U$31&lt;3,1,U$31/U$22)),1)</f>
        <v>0</v>
      </c>
      <c r="V32" s="1">
        <f>CEILING(IF(V$31=0,0,IF(V$31&lt;3,1,V$31/V$22)),1)</f>
        <v>0</v>
      </c>
      <c r="W32" s="1">
        <f t="shared" ref="W32" si="11">FLOOR(IF(W$31=0,0,IF(W$31&lt;3,1,W$31/W$22)),1)</f>
        <v>0</v>
      </c>
      <c r="X32" s="1"/>
      <c r="AA32" s="11" t="s">
        <v>4633</v>
      </c>
    </row>
    <row r="33" spans="3:29" ht="14.85" customHeight="1">
      <c r="C33" s="1"/>
      <c r="D33" s="1"/>
      <c r="E33" s="1"/>
      <c r="G33" s="1"/>
      <c r="H33" s="1"/>
      <c r="I33" s="19"/>
      <c r="J33" s="1"/>
      <c r="K33" s="1"/>
      <c r="L33" s="1"/>
      <c r="M33" s="1"/>
      <c r="N33" s="1"/>
      <c r="O33" s="1"/>
      <c r="P33" s="1"/>
      <c r="Q33" s="1"/>
      <c r="R33" s="1"/>
      <c r="S33" s="829"/>
      <c r="T33" s="1">
        <v>33</v>
      </c>
      <c r="U33" s="1">
        <f>IF(U32=0,0,IF(U31&lt;=U22,U31,U31-(U32*U22)))</f>
        <v>0</v>
      </c>
      <c r="V33" s="1"/>
      <c r="W33" s="1">
        <f>IF(W32=0,0,IF(W31=1,1,W31-(W32*W22)))</f>
        <v>0</v>
      </c>
      <c r="X33" s="1"/>
      <c r="AA33" s="11" t="s">
        <v>4635</v>
      </c>
    </row>
    <row r="34" spans="3:29" ht="14.85" customHeight="1">
      <c r="C34" s="1"/>
      <c r="D34" s="1"/>
      <c r="E34" s="1"/>
      <c r="F34" s="1"/>
      <c r="G34" s="1"/>
      <c r="H34" s="1"/>
      <c r="I34" s="19"/>
      <c r="J34" s="19"/>
      <c r="K34" s="1"/>
      <c r="L34" s="1"/>
      <c r="M34" s="1"/>
      <c r="N34" s="1"/>
      <c r="O34" s="1"/>
      <c r="P34" s="1"/>
      <c r="Q34" s="1"/>
      <c r="R34" s="1"/>
      <c r="S34" s="829"/>
      <c r="T34" s="1">
        <v>34</v>
      </c>
      <c r="U34" s="11">
        <f>IF(W34=0,U31,U31-W34)</f>
        <v>0</v>
      </c>
      <c r="W34" s="11">
        <f>IF(W31=0,0,IF(W31=1,1,W31-W32*W22))</f>
        <v>0</v>
      </c>
      <c r="X34" s="1"/>
      <c r="AA34" s="11" t="s">
        <v>4634</v>
      </c>
    </row>
    <row r="35" spans="3:29" ht="14.85" customHeight="1">
      <c r="C35" s="1"/>
      <c r="D35" s="1"/>
      <c r="E35" s="1"/>
      <c r="F35" s="1"/>
      <c r="G35" s="1"/>
      <c r="H35" s="1"/>
      <c r="I35" s="19"/>
      <c r="J35" s="19"/>
      <c r="K35" s="1"/>
      <c r="L35" s="1"/>
      <c r="M35" s="1"/>
      <c r="N35" s="1"/>
      <c r="O35" s="1"/>
      <c r="P35" s="1"/>
      <c r="Q35" s="1"/>
      <c r="R35" s="1"/>
      <c r="S35" s="829"/>
      <c r="T35" s="1">
        <v>35</v>
      </c>
      <c r="U35" s="1"/>
      <c r="V35" s="1"/>
      <c r="W35" s="1">
        <f>IF(AND(W34=1,U33&gt;0),1+W31,W31)</f>
        <v>0</v>
      </c>
      <c r="X35" s="1"/>
      <c r="AA35" s="11" t="s">
        <v>4602</v>
      </c>
    </row>
    <row r="36" spans="3:29" ht="28.9" customHeight="1">
      <c r="C36" s="1"/>
      <c r="D36" s="1"/>
      <c r="E36" s="1"/>
      <c r="F36" s="1"/>
      <c r="G36" s="1"/>
      <c r="H36" s="1"/>
      <c r="I36" s="19"/>
      <c r="J36" s="19"/>
      <c r="K36" s="1"/>
      <c r="L36" s="1"/>
      <c r="M36" s="1"/>
      <c r="N36" s="1"/>
      <c r="O36" s="1"/>
      <c r="P36" s="1"/>
      <c r="Q36" s="1"/>
      <c r="R36" s="1"/>
      <c r="S36" s="829"/>
      <c r="T36" s="1">
        <v>36</v>
      </c>
      <c r="U36" s="1"/>
      <c r="V36" s="1"/>
      <c r="W36" s="1"/>
      <c r="X36" s="1"/>
    </row>
    <row r="37" spans="3:29" ht="14.85" customHeight="1" thickBot="1">
      <c r="C37" s="1"/>
      <c r="D37" s="1"/>
      <c r="E37" s="1"/>
      <c r="F37" s="1"/>
      <c r="G37" s="1"/>
      <c r="H37" s="1"/>
      <c r="I37" s="19"/>
      <c r="J37" s="19"/>
      <c r="K37" s="1"/>
      <c r="L37" s="1"/>
      <c r="M37" s="1"/>
      <c r="N37" s="1"/>
      <c r="O37" s="1"/>
      <c r="P37" s="1"/>
      <c r="Q37" s="1"/>
      <c r="R37" s="1"/>
      <c r="S37" s="829"/>
      <c r="T37" s="1">
        <v>37</v>
      </c>
      <c r="U37" s="520"/>
      <c r="V37" s="520"/>
      <c r="W37" s="541">
        <f>IF(W31=0,0,CEILING((W35/W22),1))*W20</f>
        <v>0</v>
      </c>
      <c r="X37" s="521"/>
      <c r="Y37" s="523"/>
      <c r="Z37" s="542">
        <f>IF((U46+V46+W37)&gt;X20,X20,U46+V46+W37)</f>
        <v>0</v>
      </c>
      <c r="AA37" s="524" t="s">
        <v>4641</v>
      </c>
      <c r="AB37" s="524"/>
    </row>
    <row r="38" spans="3:29" ht="14.85" customHeight="1">
      <c r="C38" s="1"/>
      <c r="D38" s="1"/>
      <c r="E38" s="1"/>
      <c r="F38" s="1"/>
      <c r="G38" s="1"/>
      <c r="H38" s="1"/>
      <c r="I38" s="19"/>
      <c r="J38" s="19"/>
      <c r="K38" s="1"/>
      <c r="L38" s="1"/>
      <c r="M38" s="1"/>
      <c r="N38" s="1"/>
      <c r="O38" s="1"/>
      <c r="P38" s="1"/>
      <c r="Q38" s="1"/>
      <c r="R38" s="1"/>
      <c r="S38" s="828" t="s">
        <v>4637</v>
      </c>
      <c r="T38" s="1" t="s">
        <v>4582</v>
      </c>
      <c r="U38" s="1"/>
      <c r="V38" s="11">
        <f>IF(V31=0,0,IF(V31&gt;=V22,V22*V32-V31,V22-V31))</f>
        <v>0</v>
      </c>
      <c r="W38" s="1"/>
      <c r="X38" s="1"/>
      <c r="AA38" s="11" t="s">
        <v>4637</v>
      </c>
      <c r="AC38" s="11">
        <v>38</v>
      </c>
    </row>
    <row r="39" spans="3:29" ht="14.85" customHeight="1">
      <c r="C39" s="1"/>
      <c r="D39" s="1"/>
      <c r="E39" s="1"/>
      <c r="F39" s="1"/>
      <c r="G39" s="1"/>
      <c r="H39" s="1"/>
      <c r="I39" s="19"/>
      <c r="J39" s="19"/>
      <c r="K39" s="1"/>
      <c r="L39" s="1"/>
      <c r="M39" s="1"/>
      <c r="N39" s="1"/>
      <c r="O39" s="1"/>
      <c r="P39" s="1"/>
      <c r="Q39" s="1"/>
      <c r="R39" s="1"/>
      <c r="S39" s="828"/>
      <c r="T39" s="1" t="s">
        <v>4648</v>
      </c>
      <c r="U39" s="1">
        <f>IF(V38=0,U34,IF(U34&gt;V38,U34-V38,0))</f>
        <v>0</v>
      </c>
      <c r="V39" s="1">
        <f>IF(V38=0,V31,IF(V38&gt;=U34,V31+U34,V31+V38))</f>
        <v>0</v>
      </c>
      <c r="W39" s="1"/>
      <c r="X39" s="11">
        <f t="shared" ref="X39:Y39" si="12">SUM(X26:X28)</f>
        <v>0</v>
      </c>
      <c r="Y39" s="11">
        <f t="shared" si="12"/>
        <v>0</v>
      </c>
      <c r="Z39" s="11">
        <f>SUM(Z26:Z28)</f>
        <v>0</v>
      </c>
      <c r="AA39" s="11" t="s">
        <v>4636</v>
      </c>
      <c r="AC39" s="11">
        <v>39</v>
      </c>
    </row>
    <row r="40" spans="3:29" ht="15">
      <c r="S40" s="828"/>
      <c r="T40" s="11">
        <v>40</v>
      </c>
      <c r="U40" s="11">
        <f>CEILING(IF(U$39=0,0,IF(U$39&lt;3,1,U$39/U$22)),1)</f>
        <v>0</v>
      </c>
      <c r="V40" s="11">
        <f>CEILING(IF(V$39=0,0,IF(V$39&lt;3,1,V$39/V$22)),1)</f>
        <v>0</v>
      </c>
      <c r="Z40" s="11">
        <f>IF(Z39=0,0,$X$22-Z39)</f>
        <v>0</v>
      </c>
      <c r="AA40" s="11" t="s">
        <v>4582</v>
      </c>
      <c r="AC40" s="11">
        <v>40</v>
      </c>
    </row>
    <row r="41" spans="3:29" ht="15.75" hidden="1" customHeight="1">
      <c r="S41" s="828"/>
    </row>
    <row r="42" spans="3:29" ht="15.75" hidden="1" customHeight="1" thickBot="1">
      <c r="S42" s="828"/>
    </row>
    <row r="43" spans="3:29" ht="15.75" hidden="1" customHeight="1" thickBot="1">
      <c r="S43" s="828"/>
    </row>
    <row r="44" spans="3:29" ht="15.75" hidden="1" customHeight="1" thickBot="1">
      <c r="S44" s="828"/>
    </row>
    <row r="45" spans="3:29" ht="15.75" hidden="1" customHeight="1" thickBot="1">
      <c r="S45" s="828"/>
    </row>
    <row r="46" spans="3:29" ht="15.75" customHeight="1" thickBot="1">
      <c r="S46" s="828"/>
      <c r="U46" s="540">
        <f>U20*U40</f>
        <v>0</v>
      </c>
      <c r="V46" s="540">
        <f>IF(V40&gt;0,V40*V20,0)</f>
        <v>0</v>
      </c>
      <c r="X46" s="523"/>
      <c r="Y46" s="521">
        <f>IF(Z39=0,Y39,IF(Z40&gt;=Y39,0,Y39-Z40))</f>
        <v>0</v>
      </c>
      <c r="Z46" s="521">
        <f>IF(Z40&gt;=Y39,Y39+Z39,Z40+Z39)</f>
        <v>0</v>
      </c>
      <c r="AA46" s="11" t="s">
        <v>4602</v>
      </c>
      <c r="AC46" s="11">
        <v>46</v>
      </c>
    </row>
    <row r="47" spans="3:29" ht="14.85" customHeight="1">
      <c r="S47" s="828"/>
      <c r="X47" s="11">
        <f>IF(X39=0,0,X39)</f>
        <v>0</v>
      </c>
      <c r="Z47" s="11">
        <f>IF(Z46=0,0,X22-Z46)</f>
        <v>0</v>
      </c>
      <c r="AA47" s="11" t="s">
        <v>4582</v>
      </c>
      <c r="AC47" s="11">
        <v>47</v>
      </c>
    </row>
    <row r="48" spans="3:29" ht="14.85" customHeight="1" thickBot="1">
      <c r="S48" s="828"/>
      <c r="X48" s="523">
        <f>IF(Z46=0,X47,IF(Z47&gt;=X47,0,X47-Z47))</f>
        <v>0</v>
      </c>
      <c r="Y48" s="523"/>
      <c r="Z48" s="525">
        <f>IF(Z47&gt;=X47,X47+Z46,Z47+Z46)</f>
        <v>0</v>
      </c>
      <c r="AA48" s="11" t="s">
        <v>4603</v>
      </c>
      <c r="AC48" s="11">
        <v>48</v>
      </c>
    </row>
    <row r="49" spans="19:29" ht="14.85" customHeight="1">
      <c r="S49" s="828"/>
      <c r="X49" s="1">
        <f>X48</f>
        <v>0</v>
      </c>
      <c r="Y49" s="1">
        <f>Y46</f>
        <v>0</v>
      </c>
      <c r="AA49" s="11" t="s">
        <v>4635</v>
      </c>
      <c r="AC49" s="11">
        <v>49</v>
      </c>
    </row>
    <row r="50" spans="19:29" ht="14.85" customHeight="1">
      <c r="S50" s="828"/>
      <c r="Y50" s="11">
        <f>IF(Y49=0,0,X22-Y49)</f>
        <v>0</v>
      </c>
      <c r="AA50" s="11" t="s">
        <v>4582</v>
      </c>
      <c r="AC50" s="11">
        <v>50</v>
      </c>
    </row>
    <row r="51" spans="19:29" ht="14.85" customHeight="1" thickBot="1">
      <c r="S51" s="828"/>
      <c r="X51" s="523">
        <f>IF(Y50&gt;=X49,0,X49-Y50)</f>
        <v>0</v>
      </c>
      <c r="Y51" s="525">
        <f>IF(Y50&gt;=X49,X49+Y49,Y50+Y49)</f>
        <v>0</v>
      </c>
      <c r="Z51" s="523"/>
      <c r="AA51" s="11" t="s">
        <v>4604</v>
      </c>
      <c r="AC51" s="11">
        <v>51</v>
      </c>
    </row>
    <row r="52" spans="19:29" ht="14.85" customHeight="1">
      <c r="S52" s="828"/>
      <c r="AC52" s="11">
        <v>52</v>
      </c>
    </row>
    <row r="53" spans="19:29" ht="14.85" customHeight="1" thickBot="1">
      <c r="S53" s="828"/>
      <c r="X53" s="522">
        <f>IF(SUM(Y26:Z28)=0,X39,X51)</f>
        <v>0</v>
      </c>
      <c r="Y53" s="523"/>
      <c r="Z53" s="523"/>
      <c r="AA53" s="11" t="s">
        <v>4605</v>
      </c>
      <c r="AC53" s="11">
        <v>53</v>
      </c>
    </row>
    <row r="54" spans="19:29" ht="14.85" customHeight="1">
      <c r="S54" s="828"/>
      <c r="X54" s="11">
        <f>IF(X53&gt;0,X20,0)</f>
        <v>0</v>
      </c>
      <c r="Y54" s="11">
        <f>IF(Y51&gt;0,Y20,0)</f>
        <v>0</v>
      </c>
      <c r="Z54" s="11">
        <f>IF(Z48&gt;0,Z20,0)</f>
        <v>0</v>
      </c>
      <c r="AC54" s="11">
        <v>54</v>
      </c>
    </row>
    <row r="55" spans="19:29" ht="14.85" customHeight="1" thickBot="1">
      <c r="S55" s="828"/>
      <c r="U55" s="523"/>
      <c r="V55" s="523"/>
      <c r="W55" s="523"/>
      <c r="X55" s="523"/>
      <c r="Y55" s="523"/>
      <c r="Z55" s="526">
        <f>SUM(X54:Z54)</f>
        <v>0</v>
      </c>
      <c r="AA55" s="524" t="s">
        <v>4639</v>
      </c>
      <c r="AB55" s="524"/>
      <c r="AC55" s="169"/>
    </row>
    <row r="56" spans="19:29" ht="14.85" customHeight="1">
      <c r="S56" s="827" t="s">
        <v>4640</v>
      </c>
      <c r="V56" s="11">
        <f>SUM(U26:W28)</f>
        <v>0</v>
      </c>
      <c r="X56" s="11">
        <f t="shared" ref="X56:Y56" si="13">SUM(X26:X28)</f>
        <v>0</v>
      </c>
      <c r="Y56" s="11">
        <f t="shared" si="13"/>
        <v>0</v>
      </c>
      <c r="Z56" s="11">
        <f>SUM(Z26:Z28)</f>
        <v>0</v>
      </c>
      <c r="AA56" s="11" t="s">
        <v>4636</v>
      </c>
      <c r="AB56" s="169"/>
      <c r="AC56" s="169"/>
    </row>
    <row r="57" spans="19:29" ht="14.85" customHeight="1">
      <c r="S57" s="827"/>
      <c r="Z57" s="11">
        <f>IF(Z55&gt;0,X22-Z56,0)</f>
        <v>0</v>
      </c>
      <c r="AA57" s="11" t="s">
        <v>4582</v>
      </c>
    </row>
    <row r="58" spans="19:29" ht="14.85" customHeight="1">
      <c r="S58" s="827"/>
      <c r="V58" s="11">
        <f>IF(Z56=0,V56,IF(Z57&gt;=V56,0,V56-Z57))</f>
        <v>0</v>
      </c>
      <c r="Z58" s="11">
        <f>IF(Z57&gt;=V56,V56+Z56,Z57+Z56)</f>
        <v>0</v>
      </c>
      <c r="AA58" s="11" t="s">
        <v>4602</v>
      </c>
    </row>
    <row r="59" spans="19:29" ht="14.85" customHeight="1">
      <c r="S59" s="827"/>
      <c r="X59" s="11">
        <f t="shared" ref="X59:Y59" si="14">IF(X56&gt;0,X20,0)</f>
        <v>0</v>
      </c>
      <c r="Y59" s="11">
        <f t="shared" si="14"/>
        <v>0</v>
      </c>
      <c r="Z59" s="11">
        <f>IF(Z56&gt;0,Z20,0)</f>
        <v>0</v>
      </c>
    </row>
    <row r="60" spans="19:29" ht="14.85" customHeight="1" thickBot="1">
      <c r="S60" s="827"/>
      <c r="U60" s="523"/>
      <c r="V60" s="523"/>
      <c r="W60" s="523"/>
      <c r="X60" s="523"/>
      <c r="Y60" s="523"/>
      <c r="Z60" s="522">
        <f>MAX(X59:Z59)</f>
        <v>0</v>
      </c>
      <c r="AA60" s="524" t="s">
        <v>4642</v>
      </c>
      <c r="AB60" s="524"/>
      <c r="AC60" s="524"/>
    </row>
    <row r="61" spans="19:29" ht="14.85" customHeight="1">
      <c r="S61" s="527"/>
    </row>
    <row r="62" spans="19:29" ht="14.85" customHeight="1">
      <c r="S62" s="527"/>
      <c r="Z62" s="519" t="str">
        <f>IF(K29&gt;20,'kalkulace dopravy'!X3,IF(J29&lt;&gt;1,IF(AND(V29&gt;0,Y29=0),Z37,IF(AND(V29&gt;0,Y29&gt;0),Z60,IF(AND(V29=0,Y29&gt;0),Z55,""))),'kalkulace dopravy'!X4))</f>
        <v/>
      </c>
      <c r="AA62" s="524" t="s">
        <v>4643</v>
      </c>
      <c r="AB62" s="524"/>
    </row>
    <row r="63" spans="19:29" ht="14.85" customHeight="1">
      <c r="S63" s="527"/>
    </row>
    <row r="64" spans="19:29" ht="14.85" customHeight="1">
      <c r="S64" s="527"/>
    </row>
    <row r="65" spans="6:26" ht="14.85" customHeight="1">
      <c r="S65" s="527"/>
    </row>
    <row r="66" spans="6:26" ht="14.85" customHeight="1" thickBot="1"/>
    <row r="67" spans="6:26" ht="14.85" customHeight="1" thickBot="1">
      <c r="R67" s="528" t="s">
        <v>3780</v>
      </c>
      <c r="S67" s="500"/>
      <c r="T67" s="500"/>
      <c r="U67" s="500"/>
      <c r="V67" s="500"/>
      <c r="W67" s="501"/>
    </row>
    <row r="68" spans="6:26" ht="14.85" customHeight="1">
      <c r="R68" s="409" t="s">
        <v>3781</v>
      </c>
      <c r="S68" s="410" t="s">
        <v>3782</v>
      </c>
      <c r="T68" s="410" t="s">
        <v>4644</v>
      </c>
      <c r="U68" s="410" t="s">
        <v>4645</v>
      </c>
      <c r="V68" s="411" t="s">
        <v>4646</v>
      </c>
      <c r="W68" s="412" t="s">
        <v>4647</v>
      </c>
    </row>
    <row r="69" spans="6:26" ht="14.85" customHeight="1">
      <c r="R69" s="404" t="s">
        <v>3804</v>
      </c>
      <c r="S69" s="401" t="s">
        <v>3788</v>
      </c>
      <c r="T69" s="401" t="s">
        <v>3789</v>
      </c>
      <c r="U69" s="401" t="s">
        <v>3790</v>
      </c>
      <c r="V69" s="408" t="s">
        <v>3791</v>
      </c>
      <c r="W69" s="413" t="s">
        <v>4552</v>
      </c>
    </row>
    <row r="70" spans="6:26" ht="14.85" customHeight="1" thickBot="1">
      <c r="R70" s="383" t="s">
        <v>4546</v>
      </c>
      <c r="S70" s="406" t="s">
        <v>4596</v>
      </c>
      <c r="T70" s="406" t="s">
        <v>4596</v>
      </c>
      <c r="U70" s="406" t="s">
        <v>4597</v>
      </c>
      <c r="V70" s="406" t="s">
        <v>4597</v>
      </c>
      <c r="W70" s="407" t="s">
        <v>4598</v>
      </c>
    </row>
    <row r="74" spans="6:26" ht="14.85" customHeight="1">
      <c r="S74" s="503">
        <v>1000</v>
      </c>
      <c r="T74" s="503">
        <v>1499</v>
      </c>
      <c r="U74" s="503">
        <v>2000</v>
      </c>
      <c r="V74" s="503">
        <v>2500</v>
      </c>
      <c r="W74" s="503">
        <v>2851</v>
      </c>
    </row>
    <row r="75" spans="6:26" ht="14.85" customHeight="1">
      <c r="S75" s="503">
        <v>0</v>
      </c>
      <c r="T75" s="503">
        <v>1001</v>
      </c>
      <c r="U75" s="503">
        <v>1500</v>
      </c>
      <c r="V75" s="503">
        <v>2001</v>
      </c>
      <c r="W75" s="503">
        <v>2501</v>
      </c>
    </row>
    <row r="76" spans="6:26" ht="14.85" customHeight="1">
      <c r="R76" s="11" t="s">
        <v>4555</v>
      </c>
      <c r="S76" s="504">
        <v>35.35</v>
      </c>
      <c r="T76" s="504">
        <v>49.7</v>
      </c>
      <c r="U76" s="504">
        <v>61.2</v>
      </c>
      <c r="V76" s="504">
        <v>95.55</v>
      </c>
      <c r="W76" s="504">
        <v>109</v>
      </c>
    </row>
    <row r="77" spans="6:26" ht="14.85" customHeight="1">
      <c r="O77" s="11">
        <f>O78-20</f>
        <v>-20</v>
      </c>
      <c r="P77" s="11" t="str">
        <f>IF(O77&gt;0,"přebývá!","")</f>
        <v/>
      </c>
      <c r="S77" s="505" t="s">
        <v>4587</v>
      </c>
      <c r="T77" s="505" t="s">
        <v>4588</v>
      </c>
      <c r="U77" s="505" t="s">
        <v>4589</v>
      </c>
      <c r="V77" s="505" t="s">
        <v>4590</v>
      </c>
      <c r="W77" s="505" t="s">
        <v>4600</v>
      </c>
    </row>
    <row r="78" spans="6:26" ht="14.85" customHeight="1">
      <c r="M78" s="11" t="s">
        <v>4566</v>
      </c>
      <c r="O78" s="11">
        <f>SUM(O80:O85)</f>
        <v>0</v>
      </c>
      <c r="R78" s="11" t="s">
        <v>4562</v>
      </c>
      <c r="S78" s="11">
        <v>12</v>
      </c>
      <c r="T78" s="11">
        <v>12</v>
      </c>
      <c r="U78" s="11">
        <v>8</v>
      </c>
      <c r="V78" s="11">
        <v>8</v>
      </c>
      <c r="W78" s="11">
        <v>6</v>
      </c>
      <c r="Z78" s="11">
        <v>78</v>
      </c>
    </row>
    <row r="79" spans="6:26" ht="14.85" customHeight="1">
      <c r="F79" s="11" t="s">
        <v>4563</v>
      </c>
      <c r="L79" s="11" t="s">
        <v>4599</v>
      </c>
      <c r="O79" s="11" t="s">
        <v>4567</v>
      </c>
      <c r="P79" s="11" t="s">
        <v>4568</v>
      </c>
      <c r="Q79" s="11" t="s">
        <v>4568</v>
      </c>
      <c r="R79" s="11" t="s">
        <v>4606</v>
      </c>
      <c r="S79" s="11">
        <f>FLOOR(SUM(S80:S82)/S78,1)</f>
        <v>0</v>
      </c>
      <c r="T79" s="11">
        <f>FLOOR(SUM(T80:T82)/T78,1)</f>
        <v>0</v>
      </c>
      <c r="U79" s="11">
        <f>FLOOR(SUM(U80:U82)/U78,1)</f>
        <v>0</v>
      </c>
      <c r="V79" s="11">
        <f>FLOOR(SUM(V80:V82)/V78,1)</f>
        <v>0</v>
      </c>
      <c r="W79" s="11">
        <f>FLOOR(SUM(W80:W82)/W78,1)</f>
        <v>0</v>
      </c>
      <c r="Z79" s="11">
        <v>79</v>
      </c>
    </row>
    <row r="80" spans="6:26" ht="14.85" customHeight="1">
      <c r="F80" s="11" t="s">
        <v>4569</v>
      </c>
      <c r="G80" s="11" t="str">
        <f>IF(AND($L$80&gt;S$75,$L$80&lt;=S$74),"tubus A","ne")</f>
        <v>ne</v>
      </c>
      <c r="H80" s="11" t="str">
        <f>IF(AND($L$80&gt;T$75,$L$80&lt;=T$74),"tubus B","ne")</f>
        <v>ne</v>
      </c>
      <c r="I80" s="11" t="str">
        <f>IF(AND($L$80&gt;U$75,$L$80&lt;=U$74),"tubus C","ne")</f>
        <v>ne</v>
      </c>
      <c r="J80" s="11" t="str">
        <f>IF(AND($L$80&gt;V$75,$L$80&lt;=V$74),"tubus D","ne")</f>
        <v>ne</v>
      </c>
      <c r="K80" s="11" t="str">
        <f>IF(AND($L$80&gt;W$75,$L$80&lt;=W$74),"tubus E","ne")</f>
        <v>ne</v>
      </c>
      <c r="L80" s="11">
        <f>MAX(P80:Q80)</f>
        <v>0</v>
      </c>
      <c r="M80" s="11" t="str">
        <f t="shared" ref="M80:M82" si="15">IF(G80&lt;&gt;"ne",G80,IF(H80&lt;&gt;"NE",H80,IF(I80&lt;&gt;"NE",I80,IF(J80&lt;&gt;"NE",J80,IF(K80&lt;&gt;"Ne",K80,"ne")))))</f>
        <v>ne</v>
      </c>
      <c r="N80" s="11" t="e">
        <f>_xlfn.TEXTBEFORE(M80," ")</f>
        <v>#N/A</v>
      </c>
      <c r="O80" s="11">
        <f>Posuv!E30</f>
        <v>0</v>
      </c>
      <c r="P80" s="11">
        <f>Posuv!E26</f>
        <v>0</v>
      </c>
      <c r="Q80" s="11">
        <f>Posuv!E28</f>
        <v>0</v>
      </c>
      <c r="R80" s="11" t="s">
        <v>4569</v>
      </c>
      <c r="S80" s="515">
        <f>IF($AB$18&lt;&gt;3,0,IFERROR((IF($M$80=S$77,$O$80,0)),0))</f>
        <v>0</v>
      </c>
      <c r="T80" s="515">
        <f t="shared" ref="T80:W80" si="16">IF($AB$18&lt;&gt;3,0,IFERROR((IF($M$80=T$77,$O$80,0)),0))</f>
        <v>0</v>
      </c>
      <c r="U80" s="515">
        <f t="shared" si="16"/>
        <v>0</v>
      </c>
      <c r="V80" s="515">
        <f>IF($AB$18&lt;&gt;3,0,IFERROR((IF($M$80=V$77,$O$80,0)),0))</f>
        <v>0</v>
      </c>
      <c r="W80" s="515">
        <f t="shared" si="16"/>
        <v>0</v>
      </c>
      <c r="X80" s="11" t="s">
        <v>4569</v>
      </c>
      <c r="Z80" s="11">
        <v>80</v>
      </c>
    </row>
    <row r="81" spans="6:26" ht="14.85" customHeight="1">
      <c r="F81" s="11" t="s">
        <v>4570</v>
      </c>
      <c r="G81" s="11" t="str">
        <f t="shared" ref="G81:G82" si="17">IF(AND(L81&gt;$S$75,L81&lt;=$S$74),"tubus A","ne")</f>
        <v>ne</v>
      </c>
      <c r="H81" s="11" t="str">
        <f>IF(AND($L$81&gt;T$75,$L$81&lt;=T$74),"tubus B","ne")</f>
        <v>ne</v>
      </c>
      <c r="I81" s="11" t="str">
        <f>IF(AND($L$81&gt;U$75,$L$81&lt;=U$74),"tubus C","ne")</f>
        <v>ne</v>
      </c>
      <c r="J81" s="11" t="str">
        <f>IF(AND($L$81&gt;V$75,$L$81&lt;=V$74),"tubus D","ne")</f>
        <v>ne</v>
      </c>
      <c r="K81" s="11" t="str">
        <f>IF(AND($L$81&gt;W$75,$L$81&lt;=W$74),"tubus E","ne")</f>
        <v>ne</v>
      </c>
      <c r="L81" s="11">
        <f>MAX(P81:Q81)</f>
        <v>0</v>
      </c>
      <c r="M81" s="11" t="str">
        <f t="shared" si="15"/>
        <v>ne</v>
      </c>
      <c r="N81" s="11" t="e">
        <f t="shared" ref="N81:N82" si="18">_xlfn.TEXTBEFORE(M81," ")</f>
        <v>#N/A</v>
      </c>
      <c r="O81" s="11">
        <f>Posuv!I30</f>
        <v>0</v>
      </c>
      <c r="P81" s="11">
        <f>Posuv!I26</f>
        <v>0</v>
      </c>
      <c r="Q81" s="11">
        <f>Posuv!I28</f>
        <v>0</v>
      </c>
      <c r="R81" s="11" t="s">
        <v>4570</v>
      </c>
      <c r="S81" s="515">
        <f>IF($AB$18&lt;&gt;3,0,IFERROR((IF($M$81=S$77,$O$81,0)),0))</f>
        <v>0</v>
      </c>
      <c r="T81" s="515">
        <f t="shared" ref="T81:W81" si="19">IF($AB$18&lt;&gt;3,0,IFERROR((IF($M$81=T$77,$O$81,0)),0))</f>
        <v>0</v>
      </c>
      <c r="U81" s="515">
        <f t="shared" si="19"/>
        <v>0</v>
      </c>
      <c r="V81" s="515">
        <f t="shared" si="19"/>
        <v>0</v>
      </c>
      <c r="W81" s="515">
        <f t="shared" si="19"/>
        <v>0</v>
      </c>
      <c r="X81" s="11" t="s">
        <v>4570</v>
      </c>
      <c r="Z81" s="11">
        <v>81</v>
      </c>
    </row>
    <row r="82" spans="6:26" ht="14.85" customHeight="1">
      <c r="F82" s="11" t="s">
        <v>4571</v>
      </c>
      <c r="G82" s="11" t="str">
        <f t="shared" si="17"/>
        <v>ne</v>
      </c>
      <c r="H82" s="11" t="str">
        <f>IF(AND($L$82&gt;T$75,$L$82&lt;=T$74),"tubus B","ne")</f>
        <v>ne</v>
      </c>
      <c r="I82" s="11" t="str">
        <f>IF(AND($L$82&gt;U$75,$L$82&lt;=U$74),"tubus C","ne")</f>
        <v>ne</v>
      </c>
      <c r="J82" s="11" t="str">
        <f>IF(AND($L$82&gt;V$75,$L$82&lt;=V$74),"tubus D","ne")</f>
        <v>ne</v>
      </c>
      <c r="K82" s="11" t="str">
        <f>IF(AND($L$82&gt;W$75,$L$82&lt;=W$74),"tubus E","ne")</f>
        <v>ne</v>
      </c>
      <c r="L82" s="11">
        <f t="shared" ref="L82" si="20">MAX(P82:Q82)</f>
        <v>0</v>
      </c>
      <c r="M82" s="11" t="str">
        <f t="shared" si="15"/>
        <v>ne</v>
      </c>
      <c r="N82" s="11" t="e">
        <f t="shared" si="18"/>
        <v>#N/A</v>
      </c>
      <c r="O82" s="11">
        <f>Posuv!M30</f>
        <v>0</v>
      </c>
      <c r="P82" s="11">
        <f>Posuv!M26</f>
        <v>0</v>
      </c>
      <c r="Q82" s="11">
        <f>Posuv!M28</f>
        <v>0</v>
      </c>
      <c r="R82" s="11" t="s">
        <v>4571</v>
      </c>
      <c r="S82" s="515">
        <f>IF($AB$18&lt;&gt;3,0,IFERROR((IF($M$82=S$77,$O$82,0)),0))</f>
        <v>0</v>
      </c>
      <c r="T82" s="515">
        <f t="shared" ref="T82:W82" si="21">IF($AB$18&lt;&gt;3,0,IFERROR((IF($M$82=T$77,$O$82,0)),0))</f>
        <v>0</v>
      </c>
      <c r="U82" s="515">
        <f t="shared" si="21"/>
        <v>0</v>
      </c>
      <c r="V82" s="515">
        <f t="shared" si="21"/>
        <v>0</v>
      </c>
      <c r="W82" s="515">
        <f t="shared" si="21"/>
        <v>0</v>
      </c>
      <c r="X82" s="11" t="s">
        <v>4571</v>
      </c>
      <c r="Z82" s="11">
        <v>82</v>
      </c>
    </row>
    <row r="83" spans="6:26" ht="14.85" customHeight="1">
      <c r="V83" s="11">
        <f>IF(V79=0,SUM(V80:V82),SUM(V80:V82)-V78*V79)</f>
        <v>0</v>
      </c>
      <c r="W83" s="11">
        <f>IF(W79=0,SUM(W80:W82),SUM(W80:W82)-W78*W79)</f>
        <v>0</v>
      </c>
      <c r="X83" s="1" t="s">
        <v>4601</v>
      </c>
      <c r="Z83" s="11">
        <v>83</v>
      </c>
    </row>
    <row r="84" spans="6:26" ht="14.85" customHeight="1">
      <c r="W84" s="11">
        <f>IF(W83=0,0,W78-W83)</f>
        <v>0</v>
      </c>
      <c r="X84" s="1" t="s">
        <v>4582</v>
      </c>
      <c r="Z84" s="11">
        <v>84</v>
      </c>
    </row>
    <row r="85" spans="6:26" ht="14.85" customHeight="1">
      <c r="V85" s="11">
        <f>IF(W83=0,V83,IF(W84&gt;=V83,0,V83-W84))</f>
        <v>0</v>
      </c>
      <c r="W85" s="11">
        <f>IF(W84&gt;=V83,V83+W83,W84+W83)</f>
        <v>0</v>
      </c>
      <c r="X85" s="1" t="s">
        <v>4602</v>
      </c>
      <c r="Z85" s="11">
        <v>85</v>
      </c>
    </row>
    <row r="86" spans="6:26" ht="14.85" customHeight="1">
      <c r="U86" s="11">
        <f>IF(U79=0,SUM(U80:U82),SUM(U80:U82)-U78*U79)</f>
        <v>0</v>
      </c>
      <c r="V86" s="11">
        <f>IF(V85=0,0,V78-V85)</f>
        <v>0</v>
      </c>
      <c r="W86" s="11">
        <f>IF(W83=0,0,W78-W85)</f>
        <v>0</v>
      </c>
      <c r="X86" s="1" t="s">
        <v>4582</v>
      </c>
      <c r="Z86" s="11">
        <v>86</v>
      </c>
    </row>
    <row r="87" spans="6:26" ht="14.85" customHeight="1">
      <c r="U87" s="11">
        <f>IF(W86&gt;=U86,0,U86-W86)</f>
        <v>0</v>
      </c>
      <c r="W87" s="11">
        <f>IF(W86&gt;0,IF(W86&gt;=U86,U86+W85,W86+W85),W85)</f>
        <v>0</v>
      </c>
      <c r="X87" s="1" t="s">
        <v>4603</v>
      </c>
      <c r="Z87" s="11">
        <v>87</v>
      </c>
    </row>
    <row r="88" spans="6:26" ht="14.85" customHeight="1">
      <c r="T88" s="11">
        <f>IF(T79=0,SUM(T80:T82),SUM(T80:T82)-T78*T78)</f>
        <v>0</v>
      </c>
      <c r="U88" s="11">
        <f>IF(U87=0,0,U78-U87)</f>
        <v>0</v>
      </c>
      <c r="W88" s="11">
        <f>IF(W83=0,0,W78-W87)</f>
        <v>0</v>
      </c>
      <c r="X88" s="11" t="s">
        <v>4582</v>
      </c>
      <c r="Z88" s="11">
        <v>88</v>
      </c>
    </row>
    <row r="89" spans="6:26" ht="14.85" customHeight="1">
      <c r="T89" s="11">
        <f>IF(W88&gt;=T88,0,T88-W887)</f>
        <v>0</v>
      </c>
      <c r="W89" s="11">
        <f>IF(W88&gt;0,IF(W88&gt;=T88,T88+W87,W88+W87),W87)</f>
        <v>0</v>
      </c>
      <c r="X89" s="11" t="s">
        <v>4604</v>
      </c>
      <c r="Z89" s="11">
        <v>89</v>
      </c>
    </row>
    <row r="90" spans="6:26" ht="14.85" customHeight="1">
      <c r="S90" s="11">
        <f>IF(S79=0,SUM(S80:S82),SUM(S80:S82)-S78*S79)</f>
        <v>0</v>
      </c>
      <c r="W90" s="11">
        <f>IF(W83=0,0,W78-W89)</f>
        <v>0</v>
      </c>
      <c r="X90" s="11" t="s">
        <v>4582</v>
      </c>
      <c r="Z90" s="11">
        <v>90</v>
      </c>
    </row>
    <row r="91" spans="6:26" ht="14.85" customHeight="1" thickBot="1">
      <c r="S91" s="523">
        <f>IF(W90&gt;=S90,0,S90-W90)</f>
        <v>0</v>
      </c>
      <c r="T91" s="523"/>
      <c r="U91" s="523"/>
      <c r="V91" s="523"/>
      <c r="W91" s="522">
        <f>IF(W90&gt;0,IF(W90&gt;=S90,S90+W89,W90+W89),W89)</f>
        <v>0</v>
      </c>
      <c r="X91" s="523" t="s">
        <v>4605</v>
      </c>
      <c r="Y91" s="523"/>
      <c r="Z91" s="11">
        <v>91</v>
      </c>
    </row>
    <row r="92" spans="6:26" ht="14.85" customHeight="1">
      <c r="U92" s="11">
        <f>U87</f>
        <v>0</v>
      </c>
      <c r="V92" s="11">
        <f>V85</f>
        <v>0</v>
      </c>
      <c r="Z92" s="11">
        <v>92</v>
      </c>
    </row>
    <row r="93" spans="6:26" ht="14.85" customHeight="1">
      <c r="J93" s="169"/>
      <c r="K93" s="169"/>
      <c r="L93" s="169"/>
      <c r="M93" s="169"/>
      <c r="N93" s="169"/>
      <c r="O93" s="169"/>
      <c r="P93" s="169"/>
      <c r="Q93" s="169"/>
      <c r="V93" s="11">
        <f>V86</f>
        <v>0</v>
      </c>
      <c r="X93" s="11" t="s">
        <v>4582</v>
      </c>
      <c r="Z93" s="11">
        <v>93</v>
      </c>
    </row>
    <row r="94" spans="6:26" ht="14.85" customHeight="1">
      <c r="J94" s="169"/>
      <c r="K94" s="169"/>
      <c r="L94" s="169"/>
      <c r="M94" s="169"/>
      <c r="N94" s="169"/>
      <c r="O94" s="169"/>
      <c r="P94" s="169"/>
      <c r="Q94" s="169"/>
      <c r="U94" s="11">
        <f>IF(V93&gt;=U92,0,U92-V93)</f>
        <v>0</v>
      </c>
      <c r="V94" s="11">
        <f>IF(V93&gt;=U92,U92+V92,V93+V92)</f>
        <v>0</v>
      </c>
      <c r="X94" s="11" t="s">
        <v>4602</v>
      </c>
      <c r="Z94" s="11">
        <v>94</v>
      </c>
    </row>
    <row r="95" spans="6:26" ht="14.85" customHeight="1">
      <c r="J95" s="169"/>
      <c r="K95" s="169"/>
      <c r="L95" s="169"/>
      <c r="M95" s="169"/>
      <c r="N95" s="169"/>
      <c r="O95" s="169"/>
      <c r="P95" s="169"/>
      <c r="Q95" s="169"/>
      <c r="T95" s="11">
        <f>T89</f>
        <v>0</v>
      </c>
      <c r="V95" s="11">
        <f>IF(V94=0,0,V78-V94)</f>
        <v>0</v>
      </c>
      <c r="X95" s="11" t="s">
        <v>4582</v>
      </c>
      <c r="Z95" s="11">
        <v>95</v>
      </c>
    </row>
    <row r="96" spans="6:26" ht="14.85" customHeight="1">
      <c r="J96" s="169"/>
      <c r="K96" s="169"/>
      <c r="L96" s="169"/>
      <c r="M96" s="169"/>
      <c r="N96" s="169"/>
      <c r="O96" s="169"/>
      <c r="P96" s="169"/>
      <c r="Q96" s="169"/>
      <c r="T96" s="11">
        <f>IF(V95&gt;=T95,0,T95-V95)</f>
        <v>0</v>
      </c>
      <c r="V96" s="11">
        <f>IF(V95&gt;=T95,T95+V94,V95+V94)</f>
        <v>0</v>
      </c>
      <c r="X96" s="11" t="s">
        <v>4603</v>
      </c>
      <c r="Z96" s="11">
        <v>96</v>
      </c>
    </row>
    <row r="97" spans="10:26" ht="14.85" customHeight="1">
      <c r="J97" s="169"/>
      <c r="K97" s="169"/>
      <c r="L97" s="169"/>
      <c r="M97" s="169"/>
      <c r="N97" s="169"/>
      <c r="O97" s="169"/>
      <c r="P97" s="169"/>
      <c r="Q97" s="169"/>
      <c r="S97" s="11">
        <f>S91</f>
        <v>0</v>
      </c>
      <c r="V97" s="11">
        <f>IF(V96=0,0,V78-V96)</f>
        <v>0</v>
      </c>
      <c r="X97" s="11" t="s">
        <v>4582</v>
      </c>
      <c r="Z97" s="11">
        <v>97</v>
      </c>
    </row>
    <row r="98" spans="10:26" ht="14.85" customHeight="1" thickBot="1">
      <c r="J98" s="169"/>
      <c r="K98" s="169"/>
      <c r="L98" s="169"/>
      <c r="M98" s="169"/>
      <c r="N98" s="169"/>
      <c r="O98" s="169"/>
      <c r="P98" s="169"/>
      <c r="Q98" s="169"/>
      <c r="S98" s="523">
        <f>IF(V97&gt;=S97,0,S97-V97)</f>
        <v>0</v>
      </c>
      <c r="T98" s="523"/>
      <c r="U98" s="523"/>
      <c r="V98" s="523">
        <f>IF(V97&gt;=S97,S97+V96,V97+V96)</f>
        <v>0</v>
      </c>
      <c r="W98" s="523"/>
      <c r="X98" s="523" t="s">
        <v>4604</v>
      </c>
      <c r="Y98" s="523"/>
      <c r="Z98" s="11">
        <v>98</v>
      </c>
    </row>
    <row r="99" spans="10:26" ht="14.85" customHeight="1">
      <c r="J99" s="169"/>
      <c r="K99" s="169"/>
      <c r="L99" s="169"/>
      <c r="M99" s="169"/>
      <c r="N99" s="169"/>
      <c r="O99" s="169"/>
      <c r="P99" s="169"/>
      <c r="Q99" s="169"/>
      <c r="T99" s="11">
        <f>T96</f>
        <v>0</v>
      </c>
      <c r="U99" s="11">
        <f>U94</f>
        <v>0</v>
      </c>
      <c r="Z99" s="11">
        <v>99</v>
      </c>
    </row>
    <row r="100" spans="10:26" ht="14.85" customHeight="1">
      <c r="J100" s="169"/>
      <c r="K100" s="169"/>
      <c r="L100" s="169"/>
      <c r="M100" s="169"/>
      <c r="N100" s="169"/>
      <c r="O100" s="169"/>
      <c r="P100" s="169"/>
      <c r="Q100" s="169"/>
      <c r="U100" s="11">
        <f>IF(U99=0,0,U78-U99)</f>
        <v>0</v>
      </c>
      <c r="X100" s="11" t="s">
        <v>4582</v>
      </c>
      <c r="Z100" s="11">
        <v>100</v>
      </c>
    </row>
    <row r="101" spans="10:26" ht="14.85" customHeight="1">
      <c r="J101" s="169"/>
      <c r="K101" s="169"/>
      <c r="L101" s="169"/>
      <c r="M101" s="169"/>
      <c r="N101" s="169"/>
      <c r="O101" s="169"/>
      <c r="P101" s="169"/>
      <c r="Q101" s="169"/>
      <c r="T101" s="11">
        <f>IF(U100&gt;=T99,0,T99-U100)</f>
        <v>0</v>
      </c>
      <c r="U101" s="11">
        <f>IF(U100&gt;=T99,T99+U99,U100+U99)</f>
        <v>0</v>
      </c>
      <c r="X101" s="11" t="s">
        <v>4602</v>
      </c>
      <c r="Z101" s="11">
        <v>101</v>
      </c>
    </row>
    <row r="102" spans="10:26" ht="14.85" customHeight="1">
      <c r="J102" s="169"/>
      <c r="K102" s="169"/>
      <c r="L102" s="169"/>
      <c r="M102" s="169"/>
      <c r="N102" s="169"/>
      <c r="O102" s="169"/>
      <c r="P102" s="169"/>
      <c r="Q102" s="169"/>
      <c r="S102" s="11">
        <f>S98</f>
        <v>0</v>
      </c>
      <c r="U102" s="11">
        <f>IF(U101=0,0,U78-U101)</f>
        <v>0</v>
      </c>
      <c r="X102" s="11" t="s">
        <v>4582</v>
      </c>
      <c r="Z102" s="11">
        <v>102</v>
      </c>
    </row>
    <row r="103" spans="10:26" ht="14.85" customHeight="1" thickBot="1">
      <c r="J103" s="169"/>
      <c r="K103" s="169"/>
      <c r="L103" s="169"/>
      <c r="M103" s="169"/>
      <c r="N103" s="169"/>
      <c r="O103" s="169"/>
      <c r="P103" s="169"/>
      <c r="Q103" s="169"/>
      <c r="S103" s="523">
        <f>IF(U102&gt;=S102,0,S102-U102)</f>
        <v>0</v>
      </c>
      <c r="T103" s="523"/>
      <c r="U103" s="523">
        <f>IF(U102&gt;=S102,S102+U101,U102+U101)</f>
        <v>0</v>
      </c>
      <c r="V103" s="523"/>
      <c r="W103" s="523"/>
      <c r="X103" s="523" t="s">
        <v>4603</v>
      </c>
      <c r="Y103" s="523"/>
      <c r="Z103" s="11">
        <v>103</v>
      </c>
    </row>
    <row r="104" spans="10:26" ht="14.85" customHeight="1">
      <c r="J104" s="169"/>
      <c r="K104" s="169"/>
      <c r="L104" s="169"/>
      <c r="M104" s="169"/>
      <c r="N104" s="169"/>
      <c r="O104" s="169"/>
      <c r="P104" s="169"/>
      <c r="Q104" s="169"/>
      <c r="S104" s="11">
        <f>S103</f>
        <v>0</v>
      </c>
      <c r="T104" s="11">
        <f>T101</f>
        <v>0</v>
      </c>
      <c r="Z104" s="11">
        <v>104</v>
      </c>
    </row>
    <row r="105" spans="10:26" ht="14.85" customHeight="1">
      <c r="J105" s="169"/>
      <c r="K105" s="169"/>
      <c r="L105" s="169"/>
      <c r="M105" s="169"/>
      <c r="N105" s="169"/>
      <c r="O105" s="169"/>
      <c r="P105" s="169"/>
      <c r="Q105" s="169"/>
      <c r="T105" s="11">
        <f>IF(T104=0,0,T78-T104)</f>
        <v>0</v>
      </c>
      <c r="X105" s="11" t="s">
        <v>4582</v>
      </c>
      <c r="Z105" s="11">
        <v>105</v>
      </c>
    </row>
    <row r="106" spans="10:26" ht="14.85" customHeight="1" thickBot="1">
      <c r="S106" s="523">
        <f>IF(T105&gt;=S104,0,S104-T105)</f>
        <v>0</v>
      </c>
      <c r="T106" s="523">
        <f>IF(T105&gt;=S104,S104+T104,T105+T104)</f>
        <v>0</v>
      </c>
      <c r="U106" s="523"/>
      <c r="V106" s="523"/>
      <c r="W106" s="523"/>
      <c r="X106" s="523" t="s">
        <v>4602</v>
      </c>
      <c r="Y106" s="523"/>
      <c r="Z106" s="11">
        <v>106</v>
      </c>
    </row>
    <row r="107" spans="10:26" ht="14.85" customHeight="1">
      <c r="S107" s="11">
        <f>IF(S106&gt;0,1,0)+S79</f>
        <v>0</v>
      </c>
      <c r="T107" s="11">
        <f>IF(T106&gt;0,1,0)+T79</f>
        <v>0</v>
      </c>
      <c r="U107" s="11">
        <f>IF(U103&gt;0,1,0)+U79</f>
        <v>0</v>
      </c>
      <c r="V107" s="11">
        <f>IF(V98&gt;0,1,0)+V79</f>
        <v>0</v>
      </c>
      <c r="W107" s="11">
        <f>IF(W91&gt;0,1,0)+W79</f>
        <v>0</v>
      </c>
      <c r="X107" s="11" t="s">
        <v>4607</v>
      </c>
      <c r="Z107" s="11">
        <v>107</v>
      </c>
    </row>
    <row r="108" spans="10:26" ht="14.85" customHeight="1">
      <c r="S108" s="11">
        <f t="shared" ref="S108:V108" si="22">S107*S76</f>
        <v>0</v>
      </c>
      <c r="T108" s="11">
        <f t="shared" si="22"/>
        <v>0</v>
      </c>
      <c r="U108" s="11">
        <f t="shared" si="22"/>
        <v>0</v>
      </c>
      <c r="V108" s="11">
        <f t="shared" si="22"/>
        <v>0</v>
      </c>
      <c r="W108" s="11">
        <f>W107*W76</f>
        <v>0</v>
      </c>
      <c r="X108" s="11" t="s">
        <v>3804</v>
      </c>
      <c r="Z108" s="11">
        <v>108</v>
      </c>
    </row>
    <row r="109" spans="10:26" ht="14.85" customHeight="1">
      <c r="W109" s="11">
        <f>SUM(S108:W108)</f>
        <v>0</v>
      </c>
      <c r="X109" s="11" t="s">
        <v>4608</v>
      </c>
      <c r="Z109" s="11">
        <v>109</v>
      </c>
    </row>
  </sheetData>
  <mergeCells count="7">
    <mergeCell ref="X13:Z13"/>
    <mergeCell ref="S56:S60"/>
    <mergeCell ref="S38:S55"/>
    <mergeCell ref="S31:S37"/>
    <mergeCell ref="L25:Q25"/>
    <mergeCell ref="X22:Z22"/>
    <mergeCell ref="R24:R25"/>
  </mergeCells>
  <conditionalFormatting sqref="X30:Z30">
    <cfRule type="cellIs" dxfId="220" priority="1" operator="greaterThan">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77761" r:id="rId4" name="Check Box 1">
              <controlPr defaultSize="0" autoFill="0" autoLine="0" autoPict="0">
                <anchor moveWithCells="1">
                  <from>
                    <xdr:col>0</xdr:col>
                    <xdr:colOff>0</xdr:colOff>
                    <xdr:row>20</xdr:row>
                    <xdr:rowOff>180975</xdr:rowOff>
                  </from>
                  <to>
                    <xdr:col>0</xdr:col>
                    <xdr:colOff>361950</xdr:colOff>
                    <xdr:row>22</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workbookViewId="0"/>
  </sheetViews>
  <sheetFormatPr defaultColWidth="0" defaultRowHeight="15" zeroHeight="1"/>
  <cols>
    <col min="1" max="28" width="8.5703125" style="1" customWidth="1"/>
    <col min="29" max="32" width="9.140625" style="1" customWidth="1"/>
    <col min="33" max="16384" width="9.140625" style="1" hidden="1"/>
  </cols>
  <sheetData>
    <row r="1" spans="1:32">
      <c r="A1" s="81"/>
      <c r="B1" s="81"/>
      <c r="C1" s="81"/>
      <c r="D1" s="81"/>
      <c r="E1" s="81"/>
      <c r="F1" s="81"/>
      <c r="G1" s="81"/>
      <c r="H1" s="81"/>
      <c r="I1" s="81"/>
      <c r="J1" s="81"/>
      <c r="K1" s="81"/>
      <c r="L1" s="81"/>
      <c r="M1" s="81"/>
      <c r="N1" s="81"/>
      <c r="O1" s="81"/>
      <c r="P1" s="81"/>
      <c r="Q1" s="81"/>
      <c r="R1" s="81"/>
      <c r="S1" s="81"/>
      <c r="T1" s="81"/>
      <c r="U1" s="81"/>
      <c r="V1" s="81"/>
    </row>
    <row r="2" spans="1:32" ht="20.25">
      <c r="A2" s="82"/>
      <c r="B2" s="82"/>
      <c r="C2" s="82"/>
      <c r="D2" s="82"/>
      <c r="E2" s="82"/>
      <c r="F2" s="82"/>
      <c r="G2" s="82"/>
      <c r="H2" s="82"/>
      <c r="I2" s="82"/>
      <c r="J2" s="82"/>
      <c r="K2" s="839" t="str">
        <f>'Translate&amp;Prices&amp;Logo'!$B$310</f>
        <v>Rysunki profili i okuć łączących</v>
      </c>
      <c r="L2" s="839"/>
      <c r="M2" s="839"/>
      <c r="N2" s="839"/>
      <c r="O2" s="839"/>
      <c r="P2" s="839"/>
      <c r="Q2" s="839"/>
      <c r="R2" s="264"/>
      <c r="S2" s="264"/>
      <c r="T2" s="264"/>
      <c r="U2" s="82"/>
      <c r="V2" s="82"/>
      <c r="W2" s="27"/>
      <c r="X2" s="27"/>
      <c r="Y2" s="27"/>
      <c r="Z2" s="27"/>
      <c r="AA2" s="27"/>
      <c r="AB2" s="27"/>
      <c r="AC2" s="837" t="str">
        <f>'Translate&amp;Prices&amp;Logo'!$B$540</f>
        <v>Wprowadzenie</v>
      </c>
      <c r="AD2" s="838"/>
      <c r="AE2" s="838"/>
      <c r="AF2" s="838"/>
    </row>
    <row r="3" spans="1:32" ht="20.25">
      <c r="A3" s="82"/>
      <c r="B3" s="82"/>
      <c r="C3" s="82"/>
      <c r="D3" s="82"/>
      <c r="E3" s="82"/>
      <c r="F3" s="82"/>
      <c r="G3" s="82"/>
      <c r="H3" s="82"/>
      <c r="I3" s="82"/>
      <c r="J3" s="82"/>
      <c r="K3" s="839"/>
      <c r="L3" s="839"/>
      <c r="M3" s="839"/>
      <c r="N3" s="839"/>
      <c r="O3" s="839"/>
      <c r="P3" s="839"/>
      <c r="Q3" s="839"/>
      <c r="R3" s="264"/>
      <c r="S3" s="264"/>
      <c r="T3" s="264"/>
      <c r="U3" s="82"/>
      <c r="V3" s="82"/>
      <c r="W3" s="27"/>
      <c r="X3" s="27"/>
      <c r="Y3" s="27"/>
      <c r="Z3" s="27"/>
      <c r="AA3" s="27"/>
      <c r="AB3" s="27"/>
      <c r="AC3" s="837"/>
      <c r="AD3" s="838"/>
      <c r="AE3" s="838"/>
      <c r="AF3" s="838"/>
    </row>
    <row r="4" spans="1:32">
      <c r="A4" s="81"/>
      <c r="B4" s="81"/>
      <c r="C4" s="81"/>
      <c r="D4" s="81"/>
      <c r="E4" s="81"/>
      <c r="F4" s="81"/>
      <c r="G4" s="81"/>
      <c r="H4" s="81"/>
      <c r="I4" s="81"/>
    </row>
    <row r="5" spans="1:32">
      <c r="A5" s="81"/>
      <c r="B5" s="81"/>
      <c r="C5" s="81"/>
      <c r="D5" s="81"/>
      <c r="E5" s="81"/>
      <c r="F5" s="81"/>
      <c r="G5" s="81"/>
      <c r="H5" s="81"/>
      <c r="I5" s="81"/>
    </row>
    <row r="6" spans="1:32"/>
    <row r="7" spans="1:32"/>
    <row r="8" spans="1:32" s="15" customFormat="1" ht="18.600000000000001" customHeight="1">
      <c r="B8" s="836" t="str">
        <f>'Translate&amp;Prices&amp;Logo'!$B$233</f>
        <v>Wąska ALU ramka</v>
      </c>
      <c r="C8" s="836"/>
      <c r="D8" s="836"/>
      <c r="E8" s="836"/>
      <c r="F8" s="836"/>
      <c r="G8" s="836"/>
      <c r="V8" s="842" t="str">
        <f>'Translate&amp;Prices&amp;Logo'!$B$316</f>
        <v>Rysunki profili</v>
      </c>
      <c r="W8" s="842"/>
      <c r="X8" s="842"/>
      <c r="Y8" s="842"/>
      <c r="Z8" s="842"/>
      <c r="AA8" s="842"/>
      <c r="AB8" s="280"/>
      <c r="AC8" s="280"/>
    </row>
    <row r="9" spans="1:32"/>
    <row r="10" spans="1:32"/>
    <row r="11" spans="1:32">
      <c r="B11"/>
    </row>
    <row r="12" spans="1:32"/>
    <row r="13" spans="1:32"/>
    <row r="14" spans="1:32"/>
    <row r="15" spans="1:32"/>
    <row r="16" spans="1:32"/>
    <row r="17" spans="2:44"/>
    <row r="18" spans="2:44"/>
    <row r="19" spans="2:44" ht="21" customHeight="1">
      <c r="AA19" s="114"/>
      <c r="AR19" s="114"/>
    </row>
    <row r="20" spans="2:44" ht="14.85" customHeight="1">
      <c r="AA20" s="114"/>
      <c r="AR20" s="114"/>
    </row>
    <row r="21" spans="2:44" ht="14.85" customHeight="1"/>
    <row r="22" spans="2:44" ht="14.85" customHeight="1">
      <c r="B22" s="835" t="s">
        <v>27</v>
      </c>
      <c r="C22" s="835"/>
      <c r="D22" s="835"/>
      <c r="F22" s="835" t="s">
        <v>1534</v>
      </c>
      <c r="G22" s="835"/>
      <c r="H22" s="835"/>
      <c r="J22" s="835" t="s">
        <v>1535</v>
      </c>
      <c r="K22" s="835"/>
      <c r="L22" s="835"/>
      <c r="N22" s="835" t="s">
        <v>2389</v>
      </c>
      <c r="O22" s="835"/>
      <c r="P22" s="835"/>
    </row>
    <row r="23" spans="2:44" ht="21" customHeight="1">
      <c r="B23" s="835"/>
      <c r="C23" s="835"/>
      <c r="D23" s="835"/>
      <c r="F23" s="835"/>
      <c r="G23" s="835"/>
      <c r="H23" s="835"/>
      <c r="J23" s="835"/>
      <c r="K23" s="835"/>
      <c r="L23" s="835"/>
      <c r="N23" s="835"/>
      <c r="O23" s="835"/>
      <c r="P23" s="835"/>
    </row>
    <row r="24" spans="2:44" ht="21" customHeight="1">
      <c r="B24" s="272"/>
      <c r="C24" s="272"/>
      <c r="D24" s="272"/>
      <c r="F24" s="272"/>
      <c r="G24" s="272"/>
      <c r="H24" s="272"/>
      <c r="J24" s="272"/>
      <c r="K24" s="272"/>
      <c r="L24" s="272"/>
      <c r="N24" s="272"/>
      <c r="O24" s="272"/>
      <c r="P24" s="272"/>
      <c r="R24" s="272"/>
      <c r="S24" s="272"/>
      <c r="T24" s="272"/>
    </row>
    <row r="25" spans="2:44" ht="21" customHeight="1">
      <c r="B25" s="272"/>
      <c r="C25" s="272"/>
      <c r="D25" s="272"/>
      <c r="F25" s="272"/>
      <c r="G25" s="272"/>
      <c r="H25" s="272"/>
      <c r="J25" s="272"/>
      <c r="K25" s="272"/>
      <c r="L25" s="272"/>
      <c r="N25" s="272"/>
      <c r="O25" s="272"/>
      <c r="P25" s="272"/>
      <c r="R25" s="272"/>
      <c r="S25" s="272"/>
      <c r="T25" s="272"/>
      <c r="AB25" s="3"/>
    </row>
    <row r="26" spans="2:44" ht="21" customHeight="1">
      <c r="B26" s="272"/>
      <c r="C26" s="272"/>
      <c r="D26" s="272"/>
      <c r="F26" s="272"/>
      <c r="G26" s="272"/>
      <c r="H26" s="272"/>
      <c r="J26" s="272"/>
      <c r="K26" s="272"/>
      <c r="L26" s="272"/>
      <c r="N26" s="272"/>
      <c r="O26" s="272"/>
      <c r="P26" s="272"/>
      <c r="R26" s="272"/>
      <c r="S26" s="272"/>
      <c r="T26" s="272"/>
    </row>
    <row r="27" spans="2:44" ht="21" customHeight="1">
      <c r="B27" s="272"/>
      <c r="C27" s="272"/>
      <c r="D27" s="272"/>
      <c r="F27" s="272"/>
      <c r="G27" s="272"/>
      <c r="H27" s="272"/>
      <c r="J27" s="272"/>
      <c r="K27" s="272"/>
      <c r="L27" s="272"/>
      <c r="N27" s="272"/>
      <c r="O27" s="272"/>
      <c r="P27" s="272"/>
      <c r="R27" s="272"/>
      <c r="S27" s="272"/>
      <c r="T27" s="272"/>
    </row>
    <row r="28" spans="2:44" ht="21" customHeight="1">
      <c r="B28" s="272"/>
      <c r="C28" s="272"/>
      <c r="D28" s="272"/>
      <c r="F28" s="272"/>
      <c r="G28" s="272"/>
      <c r="H28" s="272"/>
      <c r="J28" s="272"/>
      <c r="K28" s="272"/>
      <c r="L28" s="272"/>
      <c r="N28" s="272"/>
      <c r="O28" s="272"/>
      <c r="P28" s="272"/>
      <c r="R28" s="272"/>
      <c r="S28" s="272"/>
      <c r="T28" s="272"/>
    </row>
    <row r="29" spans="2:44" ht="21" customHeight="1">
      <c r="B29" s="272"/>
      <c r="C29" s="272"/>
      <c r="D29" s="272"/>
      <c r="F29" s="272"/>
      <c r="G29" s="272"/>
      <c r="H29" s="272"/>
      <c r="J29" s="272"/>
      <c r="K29" s="272"/>
      <c r="L29" s="272"/>
      <c r="N29" s="272"/>
      <c r="O29" s="272"/>
      <c r="P29" s="272"/>
      <c r="R29" s="272"/>
      <c r="S29" s="272"/>
      <c r="T29" s="272"/>
    </row>
    <row r="30" spans="2:44" ht="21" customHeight="1">
      <c r="B30" s="272"/>
      <c r="C30" s="272"/>
      <c r="D30" s="272"/>
      <c r="F30" s="272"/>
      <c r="G30" s="272"/>
      <c r="H30" s="272"/>
      <c r="J30" s="272"/>
      <c r="K30" s="272"/>
      <c r="L30" s="272"/>
      <c r="M30" s="44"/>
      <c r="N30" s="272"/>
      <c r="O30" s="272"/>
      <c r="P30" s="272"/>
      <c r="R30" s="272"/>
      <c r="S30" s="272"/>
      <c r="T30" s="272"/>
      <c r="AB30" s="3"/>
    </row>
    <row r="31" spans="2:44" ht="21" customHeight="1">
      <c r="B31" s="272"/>
      <c r="C31" s="272"/>
      <c r="D31" s="272"/>
      <c r="F31" s="272"/>
      <c r="G31" s="272"/>
      <c r="H31" s="272"/>
      <c r="J31" s="272"/>
      <c r="K31" s="272"/>
      <c r="L31" s="272"/>
      <c r="N31" s="272"/>
      <c r="O31" s="272"/>
      <c r="P31" s="272"/>
      <c r="R31" s="272"/>
      <c r="S31" s="272"/>
      <c r="T31" s="272"/>
    </row>
    <row r="32" spans="2:44" ht="21" customHeight="1">
      <c r="B32" s="272"/>
      <c r="C32" s="272"/>
      <c r="D32" s="272"/>
      <c r="F32" s="272"/>
      <c r="G32" s="272"/>
      <c r="H32" s="272"/>
      <c r="J32" s="272"/>
      <c r="K32" s="272"/>
      <c r="L32" s="272"/>
      <c r="N32" s="272"/>
      <c r="O32" s="272"/>
      <c r="P32" s="272"/>
      <c r="R32" s="272"/>
      <c r="S32" s="272"/>
      <c r="T32" s="272"/>
    </row>
    <row r="33" spans="1:26" ht="21" customHeight="1">
      <c r="B33" s="835" t="s">
        <v>2398</v>
      </c>
      <c r="C33" s="835"/>
      <c r="D33" s="835"/>
      <c r="F33" s="835" t="s">
        <v>2399</v>
      </c>
      <c r="G33" s="835"/>
      <c r="H33" s="835"/>
      <c r="J33" s="272"/>
      <c r="K33" s="272"/>
      <c r="L33" s="272"/>
      <c r="N33" s="272"/>
      <c r="O33" s="272"/>
      <c r="P33" s="272"/>
      <c r="R33" s="272"/>
      <c r="S33" s="272"/>
      <c r="T33" s="272"/>
    </row>
    <row r="34" spans="1:26" ht="15" customHeight="1">
      <c r="B34" s="835"/>
      <c r="C34" s="835"/>
      <c r="D34" s="835"/>
      <c r="F34" s="835"/>
      <c r="G34" s="835"/>
      <c r="H34" s="835"/>
    </row>
    <row r="35" spans="1:26">
      <c r="I35"/>
    </row>
    <row r="36" spans="1:26" ht="14.85" customHeight="1">
      <c r="B36" s="171"/>
      <c r="C36" s="171"/>
      <c r="D36" s="171"/>
      <c r="E36" s="171"/>
      <c r="G36" s="171"/>
      <c r="H36" s="171"/>
      <c r="I36" s="171"/>
      <c r="J36" s="171"/>
      <c r="L36" s="171"/>
      <c r="M36" s="171"/>
      <c r="N36" s="171"/>
      <c r="O36" s="171"/>
      <c r="Q36" s="171"/>
      <c r="R36" s="171"/>
      <c r="S36" s="171"/>
      <c r="T36" s="171"/>
      <c r="U36" s="171"/>
      <c r="V36" s="171"/>
      <c r="W36" s="171"/>
    </row>
    <row r="37" spans="1:26" s="15" customFormat="1" ht="18.600000000000001" customHeight="1">
      <c r="A37" s="1"/>
      <c r="B37" s="836" t="str">
        <f>'Translate&amp;Prices&amp;Logo'!$B$234</f>
        <v>Szeroka ALU ramka</v>
      </c>
      <c r="C37" s="836"/>
      <c r="D37" s="836"/>
      <c r="E37" s="836"/>
      <c r="F37" s="836"/>
      <c r="G37" s="836"/>
      <c r="H37" s="171"/>
      <c r="I37" s="171"/>
      <c r="J37" s="171"/>
      <c r="L37" s="171"/>
      <c r="M37" s="171"/>
      <c r="N37" s="171"/>
      <c r="O37" s="171"/>
      <c r="Q37" s="171"/>
      <c r="R37" s="171"/>
      <c r="S37" s="171"/>
      <c r="T37" s="171"/>
      <c r="U37" s="171"/>
      <c r="V37" s="840"/>
      <c r="W37" s="840"/>
      <c r="Y37" s="841"/>
      <c r="Z37" s="841"/>
    </row>
    <row r="38" spans="1:26" ht="14.85" customHeight="1"/>
    <row r="39" spans="1:26"/>
    <row r="40" spans="1:26">
      <c r="B40"/>
    </row>
    <row r="41" spans="1:26"/>
    <row r="42" spans="1:26">
      <c r="A42" s="15"/>
    </row>
    <row r="43" spans="1:26"/>
    <row r="44" spans="1:26"/>
    <row r="45" spans="1:26"/>
    <row r="46" spans="1:26"/>
    <row r="47" spans="1:26"/>
    <row r="48" spans="1:26"/>
    <row r="49" spans="2:43"/>
    <row r="50" spans="2:43"/>
    <row r="51" spans="2:43" ht="14.45" customHeight="1">
      <c r="F51" s="400"/>
      <c r="G51" s="400"/>
      <c r="H51" s="400"/>
      <c r="K51" s="400"/>
      <c r="L51" s="400"/>
      <c r="N51" s="835"/>
      <c r="O51" s="835"/>
      <c r="P51" s="835"/>
    </row>
    <row r="52" spans="2:43" ht="14.45" customHeight="1">
      <c r="B52" s="835" t="s">
        <v>1539</v>
      </c>
      <c r="C52" s="835"/>
      <c r="D52" s="835"/>
      <c r="F52" s="835" t="s">
        <v>1540</v>
      </c>
      <c r="G52" s="835"/>
      <c r="H52" s="400"/>
      <c r="J52" s="835" t="s">
        <v>1537</v>
      </c>
      <c r="K52" s="835"/>
      <c r="L52" s="400"/>
      <c r="N52" s="835"/>
      <c r="O52" s="835"/>
      <c r="P52" s="835"/>
    </row>
    <row r="53" spans="2:43" ht="18" customHeight="1">
      <c r="B53" s="835"/>
      <c r="C53" s="835"/>
      <c r="D53" s="835"/>
      <c r="F53" s="835"/>
      <c r="G53" s="835"/>
      <c r="J53" s="835"/>
      <c r="K53" s="835"/>
      <c r="L53" s="400"/>
      <c r="V53" s="836" t="str">
        <f>'Translate&amp;Prices&amp;Logo'!$B$294</f>
        <v>Minimalna odległość umieszczenia zawiasu</v>
      </c>
      <c r="W53" s="836"/>
      <c r="X53" s="836"/>
      <c r="Y53" s="836"/>
      <c r="Z53" s="836"/>
      <c r="AA53" s="836"/>
      <c r="AF53" s="100"/>
      <c r="AQ53" s="100"/>
    </row>
    <row r="54" spans="2:43">
      <c r="I54"/>
    </row>
    <row r="55" spans="2:43">
      <c r="AF55" s="100"/>
      <c r="AQ55" s="100"/>
    </row>
    <row r="56" spans="2:43">
      <c r="B56"/>
    </row>
    <row r="57" spans="2:43">
      <c r="AC57" s="100"/>
      <c r="AD57" s="100"/>
      <c r="AE57" s="100"/>
      <c r="AF57" s="100"/>
      <c r="AQ57" s="100"/>
    </row>
    <row r="58" spans="2:43"/>
    <row r="59" spans="2:43">
      <c r="I59"/>
      <c r="AC59" s="100"/>
      <c r="AD59" s="100"/>
      <c r="AE59" s="100"/>
      <c r="AF59" s="100"/>
      <c r="AQ59" s="100"/>
    </row>
    <row r="60" spans="2:43"/>
    <row r="61" spans="2:43">
      <c r="AC61" s="100"/>
      <c r="AD61" s="100"/>
      <c r="AE61" s="100"/>
      <c r="AF61" s="100"/>
      <c r="AQ61" s="100"/>
    </row>
    <row r="62" spans="2:43"/>
    <row r="63" spans="2:43">
      <c r="C63"/>
      <c r="AC63" s="100"/>
      <c r="AD63" s="100"/>
      <c r="AE63" s="100"/>
      <c r="AF63" s="100"/>
      <c r="AQ63" s="100"/>
    </row>
    <row r="64" spans="2:43"/>
    <row r="65" spans="2:16"/>
    <row r="66" spans="2:16"/>
    <row r="67" spans="2:16" ht="14.45" customHeight="1">
      <c r="B67" s="835" t="s">
        <v>1538</v>
      </c>
      <c r="C67" s="835"/>
      <c r="D67" s="835"/>
      <c r="F67" s="835" t="s">
        <v>1536</v>
      </c>
      <c r="G67" s="835"/>
      <c r="H67" s="835"/>
      <c r="K67" s="400"/>
      <c r="L67" s="400"/>
      <c r="N67" s="835"/>
      <c r="O67" s="835"/>
      <c r="P67" s="835"/>
    </row>
    <row r="68" spans="2:16" ht="14.45" customHeight="1">
      <c r="B68" s="835"/>
      <c r="C68" s="835"/>
      <c r="D68" s="835"/>
      <c r="F68" s="835"/>
      <c r="G68" s="835"/>
      <c r="H68" s="835"/>
      <c r="J68" s="400"/>
      <c r="K68" s="400"/>
      <c r="L68" s="400"/>
      <c r="N68" s="835"/>
      <c r="O68" s="835"/>
      <c r="P68" s="835"/>
    </row>
    <row r="69" spans="2:16"/>
    <row r="70" spans="2:16"/>
    <row r="71" spans="2:16"/>
    <row r="72" spans="2:16" ht="18.75">
      <c r="B72" s="834" t="str">
        <f>'Translate&amp;Prices&amp;Logo'!$B$542</f>
        <v>Połączenie 2 profili</v>
      </c>
      <c r="C72" s="834"/>
      <c r="D72" s="834"/>
      <c r="E72" s="834"/>
      <c r="F72" s="834"/>
      <c r="G72" s="834"/>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75">
      <c r="B92" s="834" t="str">
        <f>'Translate&amp;Prices&amp;Logo'!$B$543</f>
        <v>Szprosy</v>
      </c>
      <c r="C92" s="834"/>
      <c r="D92" s="834"/>
      <c r="E92" s="834"/>
      <c r="F92" s="834"/>
      <c r="G92" s="834"/>
    </row>
    <row r="93" spans="2:7"/>
    <row r="94" spans="2:7"/>
    <row r="95" spans="2:7"/>
    <row r="96" spans="2:7"/>
    <row r="97"/>
    <row r="98"/>
    <row r="99"/>
    <row r="100"/>
    <row r="101"/>
    <row r="102"/>
    <row r="103"/>
    <row r="104"/>
    <row r="105"/>
    <row r="106"/>
    <row r="107"/>
    <row r="108"/>
    <row r="109"/>
    <row r="110"/>
    <row r="111"/>
  </sheetData>
  <sheetProtection algorithmName="SHA-512" hashValue="BqfBu9oXtO0aGoExzd9adB9hxvGDkFB7O7wo6fft2QqKOQitFF95sBD2tB5f58OEvKW8p55Dg1BOA9wgAFg53g==" saltValue="iybtCvnK2cInrMX5bw+5bA==" spinCount="100000" sheet="1" objects="1" scenarios="1"/>
  <mergeCells count="23">
    <mergeCell ref="B8:G8"/>
    <mergeCell ref="B22:D23"/>
    <mergeCell ref="V53:AA53"/>
    <mergeCell ref="F22:H23"/>
    <mergeCell ref="V8:AA8"/>
    <mergeCell ref="J22:L23"/>
    <mergeCell ref="J52:K53"/>
    <mergeCell ref="AC2:AF3"/>
    <mergeCell ref="N67:P68"/>
    <mergeCell ref="N51:P52"/>
    <mergeCell ref="N22:P23"/>
    <mergeCell ref="K2:Q3"/>
    <mergeCell ref="V37:W37"/>
    <mergeCell ref="Y37:Z37"/>
    <mergeCell ref="B92:G92"/>
    <mergeCell ref="B33:D34"/>
    <mergeCell ref="F33:H34"/>
    <mergeCell ref="B72:G72"/>
    <mergeCell ref="B67:D68"/>
    <mergeCell ref="B52:D53"/>
    <mergeCell ref="F67:H68"/>
    <mergeCell ref="B37:G37"/>
    <mergeCell ref="F52:G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AH6" sqref="AH6:AL6"/>
    </sheetView>
  </sheetViews>
  <sheetFormatPr defaultColWidth="0" defaultRowHeight="14.85" customHeight="1" zeroHeight="1"/>
  <cols>
    <col min="1" max="14" width="4.42578125" style="1" customWidth="1"/>
    <col min="15" max="15" width="5.42578125" style="1" customWidth="1"/>
    <col min="16" max="20" width="4.42578125" style="1" customWidth="1"/>
    <col min="21" max="26" width="5.140625" style="1" customWidth="1"/>
    <col min="27" max="30" width="4.42578125" style="1" customWidth="1"/>
    <col min="31" max="31" width="4.42578125" style="20" customWidth="1"/>
    <col min="32" max="32" width="4.42578125" style="18" customWidth="1"/>
    <col min="33" max="39" width="4.42578125" style="1" customWidth="1"/>
    <col min="40" max="40" width="5.28515625" style="1" customWidth="1"/>
    <col min="41" max="41" width="6.85546875" style="1" customWidth="1"/>
    <col min="42" max="42" width="5.42578125" style="1" customWidth="1"/>
    <col min="43" max="46" width="8.5703125" style="1" hidden="1" customWidth="1"/>
    <col min="47" max="47" width="12.140625" style="1" hidden="1" customWidth="1"/>
    <col min="48" max="52" width="8.5703125" style="1" hidden="1" customWidth="1"/>
    <col min="53" max="53" width="8.85546875" style="19" hidden="1" customWidth="1"/>
    <col min="54" max="54" width="8.5703125" style="19" hidden="1" customWidth="1"/>
    <col min="55" max="55" width="8.5703125" style="1" hidden="1" customWidth="1"/>
    <col min="56" max="56" width="11.28515625" style="1" hidden="1" customWidth="1"/>
    <col min="57" max="58" width="8.5703125" style="1" hidden="1" customWidth="1"/>
    <col min="59" max="59" width="12.5703125" style="1" hidden="1" customWidth="1"/>
    <col min="60" max="60" width="12.85546875" style="1" hidden="1" customWidth="1"/>
    <col min="61" max="61" width="16" style="1" hidden="1" customWidth="1"/>
    <col min="62" max="16384" width="8.5703125" style="1" hidden="1"/>
  </cols>
  <sheetData>
    <row r="1" spans="1:53" ht="15">
      <c r="A1" s="81"/>
      <c r="B1" s="81"/>
      <c r="C1" s="81"/>
      <c r="D1" s="81"/>
      <c r="E1" s="81"/>
      <c r="F1" s="81"/>
      <c r="G1" s="81"/>
      <c r="H1" s="81"/>
      <c r="I1" s="81"/>
      <c r="J1" s="81"/>
      <c r="K1" s="81"/>
      <c r="L1" s="81"/>
      <c r="M1" s="81"/>
      <c r="N1" s="81"/>
      <c r="O1" s="81"/>
      <c r="P1" s="81"/>
      <c r="Q1" s="81"/>
      <c r="R1" s="81"/>
      <c r="S1" s="81"/>
      <c r="T1" s="81"/>
      <c r="U1" s="81"/>
      <c r="V1" s="81"/>
      <c r="AM1" s="849">
        <f ca="1">TODAY()</f>
        <v>46099</v>
      </c>
      <c r="AN1" s="850"/>
      <c r="AO1" s="850"/>
      <c r="AP1" s="850"/>
    </row>
    <row r="2" spans="1:53"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547" t="str">
        <f>'Translate&amp;Prices&amp;Logo'!$B$540</f>
        <v>Wprowadzenie</v>
      </c>
      <c r="AM2" s="548"/>
      <c r="AN2" s="548"/>
      <c r="AO2" s="548"/>
      <c r="AP2" s="548"/>
    </row>
    <row r="3" spans="1:53"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547"/>
      <c r="AM3" s="548"/>
      <c r="AN3" s="548"/>
      <c r="AO3" s="548"/>
      <c r="AP3" s="548"/>
    </row>
    <row r="4" spans="1:53" ht="14.85" customHeight="1"/>
    <row r="5" spans="1:53" ht="14.85" customHeight="1">
      <c r="B5" s="372" t="str">
        <f>'Translate&amp;Prices&amp;Logo'!$B$249</f>
        <v>Klient</v>
      </c>
      <c r="C5" s="372"/>
      <c r="D5" s="372"/>
      <c r="E5" s="372"/>
      <c r="F5" s="372"/>
      <c r="G5" s="348"/>
      <c r="H5" s="844">
        <f>Zakaznik!$K$13</f>
        <v>0</v>
      </c>
      <c r="I5" s="844"/>
      <c r="J5" s="844"/>
      <c r="K5" s="844"/>
      <c r="L5" s="844"/>
      <c r="M5" s="844"/>
      <c r="N5" s="844"/>
      <c r="Q5" s="845" t="s">
        <v>3757</v>
      </c>
      <c r="R5" s="845"/>
      <c r="S5" s="845"/>
      <c r="T5" s="79"/>
      <c r="U5" s="844">
        <f>Zakaznik!K23</f>
        <v>0</v>
      </c>
      <c r="V5" s="844"/>
      <c r="W5" s="844"/>
      <c r="X5" s="844"/>
      <c r="Y5" s="844"/>
      <c r="Z5" s="844"/>
      <c r="AB5" s="370" t="str">
        <f>'Translate&amp;Prices&amp;Logo'!$B$178</f>
        <v>Cena ramek</v>
      </c>
      <c r="AC5" s="370"/>
      <c r="AD5" s="370"/>
      <c r="AE5" s="370"/>
      <c r="AF5" s="370"/>
      <c r="AG5" s="79"/>
      <c r="AH5" s="853">
        <f>SUM(Ram_1!$L$30,Ram_2!$L$30,Ram_3!$L$30,Ram_4!$L$30,Ram_5!$L$30,Ram_6!$L$30)</f>
        <v>0</v>
      </c>
      <c r="AI5" s="853"/>
      <c r="AJ5" s="853"/>
      <c r="AK5" s="853"/>
      <c r="AL5" s="853"/>
      <c r="AM5" s="371" t="str">
        <f>VLOOKUP('Translate&amp;Prices&amp;Logo'!D1,kombinace_1!$EV$1:$EW$6,2,0)</f>
        <v>zl</v>
      </c>
      <c r="AN5" s="369"/>
      <c r="AO5" s="854" t="str">
        <f>IF(U5="Dostawa na adres","Cennik transportu - kliknij tutaj","")</f>
        <v/>
      </c>
      <c r="AP5" s="854"/>
      <c r="AQ5" s="494"/>
      <c r="AR5" s="494"/>
      <c r="AS5" s="494"/>
    </row>
    <row r="6" spans="1:53" ht="14.85" customHeight="1">
      <c r="B6" s="372" t="str">
        <f>'Translate&amp;Prices&amp;Logo'!$B$253</f>
        <v>NIP</v>
      </c>
      <c r="C6" s="372"/>
      <c r="D6" s="372"/>
      <c r="E6" s="372"/>
      <c r="F6" s="372"/>
      <c r="G6" s="348"/>
      <c r="H6" s="844">
        <f>Zakaznik!$K$15</f>
        <v>0</v>
      </c>
      <c r="I6" s="844"/>
      <c r="J6" s="844"/>
      <c r="K6" s="844"/>
      <c r="L6" s="844"/>
      <c r="M6" s="844"/>
      <c r="N6" s="844"/>
      <c r="Q6" s="845" t="s">
        <v>3758</v>
      </c>
      <c r="R6" s="845"/>
      <c r="S6" s="845"/>
      <c r="T6" s="79"/>
      <c r="U6" s="851">
        <f>Zakaznik!$K$25</f>
        <v>0</v>
      </c>
      <c r="V6" s="851"/>
      <c r="W6" s="851"/>
      <c r="X6" s="851"/>
      <c r="Y6" s="851"/>
      <c r="Z6" s="851"/>
      <c r="AB6" s="852" t="str">
        <f>IF(AND(Hlavní!V39=3,Zakaznik!K23="Dostawa na adres"),"Koszty transportu","")</f>
        <v/>
      </c>
      <c r="AC6" s="852"/>
      <c r="AD6" s="852"/>
      <c r="AE6" s="852"/>
      <c r="AF6" s="852"/>
      <c r="AG6" s="79"/>
      <c r="AH6" s="846">
        <f>IF(AND(Hlavní!V39=3,Zakaznik!K23="Dostawa na adres"),'kalkulace dopravy'!U2,0)</f>
        <v>0</v>
      </c>
      <c r="AI6" s="846"/>
      <c r="AJ6" s="846"/>
      <c r="AK6" s="846"/>
      <c r="AL6" s="846"/>
      <c r="AM6" s="371" t="s">
        <v>3756</v>
      </c>
      <c r="AO6" s="854"/>
      <c r="AP6" s="854"/>
      <c r="AQ6" s="494"/>
      <c r="AR6" s="494"/>
      <c r="AS6" s="494"/>
    </row>
    <row r="7" spans="1:53" ht="14.85" customHeight="1">
      <c r="B7" s="372" t="str">
        <f>'Translate&amp;Prices&amp;Logo'!$B$250</f>
        <v>Telefon kontaktowy</v>
      </c>
      <c r="C7" s="372"/>
      <c r="D7" s="372"/>
      <c r="E7" s="372"/>
      <c r="F7" s="372"/>
      <c r="G7" s="348"/>
      <c r="H7" s="844">
        <f>Zakaznik!$K$17</f>
        <v>0</v>
      </c>
      <c r="I7" s="844"/>
      <c r="J7" s="844"/>
      <c r="K7" s="844"/>
      <c r="L7" s="844"/>
      <c r="M7" s="844"/>
      <c r="N7" s="844"/>
      <c r="U7" s="851">
        <f>Zakaznik!$K$26</f>
        <v>0</v>
      </c>
      <c r="V7" s="851"/>
      <c r="W7" s="851"/>
      <c r="X7" s="851"/>
      <c r="Y7" s="851"/>
      <c r="Z7" s="851"/>
      <c r="AA7" s="66"/>
      <c r="AB7" s="845" t="str">
        <f>IF(AND(Hlavní!V39=3,Zakaznik!K23="Dostawa na adres"),"Cena razem","")</f>
        <v/>
      </c>
      <c r="AC7" s="845"/>
      <c r="AD7" s="845"/>
      <c r="AE7" s="845"/>
      <c r="AF7" s="845"/>
      <c r="AG7" s="79"/>
      <c r="AH7" s="846">
        <f>SUM(AH5:AL6)</f>
        <v>0</v>
      </c>
      <c r="AI7" s="846"/>
      <c r="AJ7" s="846"/>
      <c r="AK7" s="846"/>
      <c r="AL7" s="846"/>
      <c r="AM7" s="371" t="s">
        <v>3756</v>
      </c>
      <c r="AO7" s="854"/>
      <c r="AP7" s="854"/>
    </row>
    <row r="8" spans="1:53" ht="14.85" customHeight="1">
      <c r="K8" s="363"/>
      <c r="L8" s="363"/>
      <c r="M8" s="363"/>
      <c r="N8" s="363"/>
      <c r="O8" s="363"/>
      <c r="Q8" s="67"/>
      <c r="R8" s="364"/>
      <c r="S8" s="364"/>
      <c r="T8" s="364"/>
      <c r="U8" s="851">
        <f>Zakaznik!$K$27</f>
        <v>0</v>
      </c>
      <c r="V8" s="851"/>
      <c r="W8" s="851"/>
      <c r="X8" s="851"/>
      <c r="Y8" s="851"/>
      <c r="Z8" s="851"/>
      <c r="AA8" s="385"/>
      <c r="AB8" s="385"/>
      <c r="AC8" s="386"/>
      <c r="AD8"/>
      <c r="AE8" s="384"/>
      <c r="AF8" s="384"/>
      <c r="AG8" s="368"/>
      <c r="AH8" s="368"/>
      <c r="AI8" s="368"/>
      <c r="AJ8" s="368"/>
    </row>
    <row r="9" spans="1:53" ht="15" customHeight="1">
      <c r="B9" s="845" t="str">
        <f>'Translate&amp;Prices&amp;Logo'!$B$254</f>
        <v>Rabat na ramki</v>
      </c>
      <c r="C9" s="845"/>
      <c r="D9" s="845"/>
      <c r="E9" s="845"/>
      <c r="F9" s="845"/>
      <c r="G9" s="348"/>
      <c r="H9" s="847">
        <f>Zakaznik!$K$21</f>
        <v>0</v>
      </c>
      <c r="I9" s="847"/>
      <c r="J9" s="847"/>
      <c r="K9" s="847"/>
      <c r="L9" s="847"/>
      <c r="M9" s="847"/>
      <c r="N9" s="847"/>
      <c r="AA9"/>
      <c r="AB9" s="848">
        <f>IF(ISTEXT(AH6)=TRUE,VLOOKUP(AH6,'kalkulace dopravy'!X2:Y4,2,0),0)</f>
        <v>0</v>
      </c>
      <c r="AC9" s="848"/>
      <c r="AD9" s="848"/>
      <c r="AE9" s="848"/>
      <c r="AF9" s="848"/>
      <c r="AG9" s="848"/>
      <c r="AH9" s="848"/>
      <c r="AI9" s="848"/>
      <c r="AJ9" s="848"/>
      <c r="AK9" s="848"/>
      <c r="AL9" s="848"/>
      <c r="AM9" s="848"/>
      <c r="AN9" s="848"/>
      <c r="AO9" s="848"/>
      <c r="AP9" s="388"/>
      <c r="AU9" s="1">
        <f>IF(Hlavní!$V$39=3,1,2)</f>
        <v>1</v>
      </c>
    </row>
    <row r="10" spans="1:53" ht="15" customHeight="1">
      <c r="B10" s="374">
        <f>Zakaznik!$K$21</f>
        <v>0</v>
      </c>
      <c r="C10" s="154"/>
      <c r="D10" s="154"/>
      <c r="E10" s="154"/>
      <c r="F10" s="154"/>
      <c r="AA10"/>
      <c r="AB10" s="848"/>
      <c r="AC10" s="848"/>
      <c r="AD10" s="848"/>
      <c r="AE10" s="848"/>
      <c r="AF10" s="848"/>
      <c r="AG10" s="848"/>
      <c r="AH10" s="848"/>
      <c r="AI10" s="848"/>
      <c r="AJ10" s="848"/>
      <c r="AK10" s="848"/>
      <c r="AL10" s="848"/>
      <c r="AM10" s="848"/>
      <c r="AN10" s="848"/>
      <c r="AO10" s="848"/>
      <c r="AP10" s="388"/>
      <c r="AU10" s="1">
        <f>IF(Zakaznik!K23="Dostawa na adres",1,2)</f>
        <v>2</v>
      </c>
    </row>
    <row r="11" spans="1:53" ht="14.85" customHeight="1" thickBot="1">
      <c r="Z11"/>
      <c r="AA11"/>
      <c r="AB11"/>
      <c r="AC11"/>
      <c r="AD11"/>
      <c r="AE11" s="387"/>
      <c r="AF11" s="14"/>
      <c r="AG11"/>
      <c r="AH11"/>
      <c r="AI11"/>
      <c r="AJ11"/>
      <c r="AK11" s="843"/>
      <c r="AL11" s="843"/>
      <c r="AM11" s="843"/>
      <c r="AN11" s="388"/>
      <c r="AO11" s="388"/>
      <c r="AP11" s="388"/>
    </row>
    <row r="12" spans="1:53" ht="14.85" customHeight="1" thickTop="1">
      <c r="B12" s="166"/>
      <c r="C12" s="166"/>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7"/>
      <c r="AF12" s="168"/>
      <c r="AG12" s="166"/>
      <c r="AH12" s="166"/>
      <c r="AI12" s="166"/>
      <c r="AJ12" s="166"/>
      <c r="AK12" s="166"/>
      <c r="AL12" s="166"/>
      <c r="AM12" s="166"/>
      <c r="AN12" s="166"/>
      <c r="AO12" s="166"/>
      <c r="BA12" s="1"/>
    </row>
    <row r="13" spans="1:53" ht="14.85" customHeight="1">
      <c r="D13" s="855" t="str">
        <f>"&lt; "&amp;'Translate&amp;Prices&amp;Logo'!$B$574&amp;" -- "&amp;Ram_1!$A$2</f>
        <v>&lt; Powrót -- Ramka  1</v>
      </c>
      <c r="E13" s="855"/>
      <c r="F13" s="855"/>
      <c r="G13" s="855"/>
      <c r="H13" s="855"/>
      <c r="BA13" s="1"/>
    </row>
    <row r="14" spans="1:53" ht="14.85" customHeight="1"/>
    <row r="15" spans="1:53" ht="14.85" customHeight="1"/>
    <row r="16" spans="1:53" ht="14.85" customHeight="1">
      <c r="AU16" s="626"/>
    </row>
    <row r="17" spans="47:53" ht="14.85" customHeight="1">
      <c r="AU17" s="626"/>
    </row>
    <row r="18" spans="47:53" ht="14.85" customHeight="1"/>
    <row r="19" spans="47:53" ht="14.85" customHeight="1">
      <c r="AU19" s="626"/>
      <c r="BA19" s="1"/>
    </row>
    <row r="20" spans="47:53" ht="14.85" customHeight="1">
      <c r="AU20" s="626"/>
    </row>
    <row r="21" spans="47:53" ht="14.85" customHeight="1"/>
    <row r="22" spans="47:53" ht="14.85" customHeight="1"/>
    <row r="23" spans="47:53" ht="14.85" customHeight="1"/>
    <row r="24" spans="47:53" ht="14.85" customHeight="1"/>
    <row r="25" spans="47:53" ht="14.85" customHeight="1"/>
    <row r="26" spans="47:53" ht="14.85" customHeight="1"/>
    <row r="27" spans="47:53" ht="14.85" customHeight="1"/>
    <row r="28" spans="47:53" ht="14.85" customHeight="1"/>
    <row r="29" spans="47:53" ht="14.85" customHeight="1"/>
    <row r="30" spans="47:53" ht="14.85" customHeight="1"/>
    <row r="31" spans="47:53" ht="14.85" customHeight="1"/>
    <row r="32" spans="47:53" ht="14.85" customHeight="1"/>
    <row r="33" spans="2:41" ht="14.85" customHeight="1"/>
    <row r="34" spans="2:41" ht="14.85" customHeight="1"/>
    <row r="35" spans="2:41" ht="14.85" customHeight="1"/>
    <row r="36" spans="2:41" ht="14.85" customHeight="1"/>
    <row r="37" spans="2:41" ht="14.85" customHeight="1"/>
    <row r="38" spans="2:41" ht="14.85" customHeight="1">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8"/>
      <c r="AF38" s="89"/>
      <c r="AG38" s="87"/>
      <c r="AH38" s="87"/>
      <c r="AI38" s="87"/>
      <c r="AJ38" s="87"/>
      <c r="AK38" s="87"/>
      <c r="AL38" s="87"/>
      <c r="AM38" s="87"/>
      <c r="AN38" s="87"/>
      <c r="AO38" s="87"/>
    </row>
    <row r="39" spans="2:41" ht="15"/>
    <row r="40" spans="2:41" ht="15">
      <c r="D40" s="855" t="str">
        <f>"&lt; "&amp;'Translate&amp;Prices&amp;Logo'!$B$574&amp;" -- "&amp;Ram_2!$A$2</f>
        <v>&lt; Powrót -- Ramka  2</v>
      </c>
      <c r="E40" s="855"/>
      <c r="F40" s="855"/>
      <c r="G40" s="855"/>
      <c r="H40" s="855"/>
    </row>
    <row r="41" spans="2:41" ht="15"/>
    <row r="42" spans="2:41" ht="15"/>
    <row r="43" spans="2:41" ht="15"/>
    <row r="44" spans="2:41" ht="15"/>
    <row r="45" spans="2:41" ht="15"/>
    <row r="46" spans="2:41" ht="15"/>
    <row r="47" spans="2:41" ht="15"/>
    <row r="48" spans="2:41" ht="15"/>
    <row r="49" ht="15"/>
    <row r="50" ht="15"/>
    <row r="51" ht="15"/>
    <row r="52" ht="15"/>
    <row r="53" ht="15"/>
    <row r="54" ht="15"/>
    <row r="55" ht="15"/>
    <row r="56" ht="15"/>
    <row r="57" ht="15"/>
    <row r="58" ht="15"/>
    <row r="59" ht="15"/>
    <row r="60" ht="15"/>
    <row r="61" ht="15"/>
    <row r="62" ht="15"/>
    <row r="63" ht="15"/>
    <row r="64" ht="15"/>
    <row r="65" spans="2:41" ht="15">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8"/>
      <c r="AF65" s="89"/>
      <c r="AG65" s="87"/>
      <c r="AH65" s="87"/>
      <c r="AI65" s="87"/>
      <c r="AJ65" s="87"/>
      <c r="AK65" s="87"/>
      <c r="AL65" s="87"/>
      <c r="AM65" s="87"/>
      <c r="AN65" s="87"/>
      <c r="AO65" s="87"/>
    </row>
    <row r="66" spans="2:41" ht="15"/>
    <row r="67" spans="2:41" ht="15">
      <c r="D67" s="855" t="str">
        <f>"&lt; "&amp;'Translate&amp;Prices&amp;Logo'!$B$574&amp;" -- "&amp;Ram_3!$A$2</f>
        <v>&lt; Powrót -- Ramka  3</v>
      </c>
      <c r="E67" s="855"/>
      <c r="F67" s="855"/>
      <c r="G67" s="855"/>
      <c r="H67" s="855"/>
    </row>
    <row r="68" spans="2:41" ht="15"/>
    <row r="69" spans="2:41" ht="15"/>
    <row r="70" spans="2:41" ht="15"/>
    <row r="71" spans="2:41" ht="15"/>
    <row r="72" spans="2:41" ht="15"/>
    <row r="73" spans="2:41" ht="15"/>
    <row r="74" spans="2:41" ht="15"/>
    <row r="75" spans="2:41" ht="15"/>
    <row r="76" spans="2:41" ht="15"/>
    <row r="77" spans="2:41" ht="15"/>
    <row r="78" spans="2:41" ht="15"/>
    <row r="79" spans="2:41" ht="15"/>
    <row r="80" spans="2:41" ht="15"/>
    <row r="81" spans="2:41" ht="15"/>
    <row r="82" spans="2:41" ht="15"/>
    <row r="83" spans="2:41" ht="15"/>
    <row r="84" spans="2:41" ht="15"/>
    <row r="85" spans="2:41" ht="15"/>
    <row r="86" spans="2:41" ht="15"/>
    <row r="87" spans="2:41" ht="15"/>
    <row r="88" spans="2:41" ht="15"/>
    <row r="89" spans="2:41" ht="15"/>
    <row r="90" spans="2:41" ht="15"/>
    <row r="91" spans="2:41" ht="15"/>
    <row r="92" spans="2:41" ht="15">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8"/>
      <c r="AF92" s="89"/>
      <c r="AG92" s="87"/>
      <c r="AH92" s="87"/>
      <c r="AI92" s="87"/>
      <c r="AJ92" s="87"/>
      <c r="AK92" s="87"/>
      <c r="AL92" s="87"/>
      <c r="AM92" s="87"/>
      <c r="AN92" s="87"/>
      <c r="AO92" s="87"/>
    </row>
    <row r="93" spans="2:41" ht="14.85" customHeight="1"/>
    <row r="94" spans="2:41" ht="14.85" customHeight="1">
      <c r="D94" s="855" t="str">
        <f>"&lt; "&amp;'Translate&amp;Prices&amp;Logo'!$B$574&amp;" -- "&amp;Ram_4!$A$2</f>
        <v>&lt; Powrót -- Ramka  4</v>
      </c>
      <c r="E94" s="855"/>
      <c r="F94" s="855"/>
      <c r="G94" s="855"/>
      <c r="H94" s="855"/>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8"/>
      <c r="AF119" s="89"/>
      <c r="AG119" s="87"/>
      <c r="AH119" s="87"/>
      <c r="AI119" s="87"/>
      <c r="AJ119" s="87"/>
      <c r="AK119" s="87"/>
      <c r="AL119" s="87"/>
      <c r="AM119" s="87"/>
      <c r="AN119" s="87"/>
      <c r="AO119" s="87"/>
    </row>
    <row r="120" spans="2:41" ht="14.85" customHeight="1"/>
    <row r="121" spans="2:41" ht="14.85" customHeight="1">
      <c r="D121" s="855" t="str">
        <f>"&lt; "&amp;'Translate&amp;Prices&amp;Logo'!$B$574&amp;" -- "&amp;Ram_5!$A$2</f>
        <v>&lt; Powrót -- Ramka  5</v>
      </c>
      <c r="E121" s="855"/>
      <c r="F121" s="855"/>
      <c r="G121" s="855"/>
      <c r="H121" s="855"/>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8"/>
      <c r="AF146" s="89"/>
      <c r="AG146" s="87"/>
      <c r="AH146" s="87"/>
      <c r="AI146" s="87"/>
      <c r="AJ146" s="87"/>
      <c r="AK146" s="87"/>
      <c r="AL146" s="87"/>
      <c r="AM146" s="87"/>
      <c r="AN146" s="87"/>
      <c r="AO146" s="87"/>
    </row>
    <row r="147" spans="2:41" ht="14.85" customHeight="1"/>
    <row r="148" spans="2:41" ht="14.85" customHeight="1">
      <c r="D148" s="855" t="str">
        <f>"&lt; "&amp;'Translate&amp;Prices&amp;Logo'!$B$574&amp;" -- "&amp;Ram_6!$A$2</f>
        <v>&lt; Powrót -- Ramka  6</v>
      </c>
      <c r="E148" s="855"/>
      <c r="F148" s="855"/>
      <c r="G148" s="855"/>
      <c r="H148" s="855"/>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8"/>
      <c r="AF173" s="89"/>
      <c r="AG173" s="87"/>
      <c r="AH173" s="87"/>
      <c r="AI173" s="87"/>
      <c r="AJ173" s="87"/>
      <c r="AK173" s="87"/>
      <c r="AL173" s="87"/>
      <c r="AM173" s="87"/>
      <c r="AN173" s="87"/>
      <c r="AO173" s="87"/>
    </row>
    <row r="174" spans="2:41" ht="14.85" customHeight="1"/>
    <row r="175" spans="2:41" ht="32.85" customHeight="1">
      <c r="J175" s="178"/>
      <c r="K175" s="178"/>
      <c r="L175" s="178"/>
      <c r="M175" s="178"/>
      <c r="N175" s="178"/>
      <c r="O175" s="178"/>
      <c r="P175" s="178"/>
      <c r="Q175" s="178"/>
      <c r="R175" s="178"/>
      <c r="S175" s="178"/>
      <c r="T175" s="178"/>
      <c r="U175" s="178"/>
      <c r="V175" s="178"/>
      <c r="W175" s="178"/>
      <c r="X175" s="178"/>
      <c r="Y175" s="178"/>
      <c r="Z175" s="15"/>
      <c r="AA175" s="194"/>
      <c r="AB175" s="194"/>
      <c r="AC175" s="194"/>
      <c r="AD175" s="194"/>
      <c r="AE175" s="194"/>
      <c r="AF175" s="194"/>
      <c r="AG175" s="194"/>
      <c r="AH175" s="194"/>
      <c r="AI175" s="194"/>
      <c r="AJ175" s="194"/>
      <c r="AK175" s="194"/>
      <c r="AL175" s="194"/>
      <c r="AM175" s="194"/>
    </row>
    <row r="176" spans="2:41" ht="14.85" customHeight="1"/>
    <row r="177" ht="14.85" customHeight="1"/>
    <row r="178" ht="14.85" customHeight="1"/>
  </sheetData>
  <sheetProtection algorithmName="SHA-512" hashValue="Zcuen/LtBvyjUpqdkP5J/BZBTjvcwdFTS1ms3TzRV+xnSwylqgfOMjdINCAVHhIwVidcHOhQgY/NWcHh9FzwcQ==" saltValue="jQj8J+35e8yOmdZWuY2Xug==" spinCount="100000" sheet="1" objects="1" scenarios="1"/>
  <mergeCells count="29">
    <mergeCell ref="H5:N5"/>
    <mergeCell ref="H6:N6"/>
    <mergeCell ref="U7:Z7"/>
    <mergeCell ref="D121:H121"/>
    <mergeCell ref="D148:H148"/>
    <mergeCell ref="D13:H13"/>
    <mergeCell ref="D40:H40"/>
    <mergeCell ref="D67:H67"/>
    <mergeCell ref="D94:H94"/>
    <mergeCell ref="B9:F9"/>
    <mergeCell ref="U8:Z8"/>
    <mergeCell ref="AM1:AP1"/>
    <mergeCell ref="AL2:AP3"/>
    <mergeCell ref="Q5:S5"/>
    <mergeCell ref="Q6:S6"/>
    <mergeCell ref="U5:Z5"/>
    <mergeCell ref="U6:Z6"/>
    <mergeCell ref="AB6:AF6"/>
    <mergeCell ref="AH5:AL5"/>
    <mergeCell ref="AH6:AL6"/>
    <mergeCell ref="AO5:AP7"/>
    <mergeCell ref="AU19:AU20"/>
    <mergeCell ref="AU16:AU17"/>
    <mergeCell ref="AK11:AM11"/>
    <mergeCell ref="H7:N7"/>
    <mergeCell ref="AB7:AF7"/>
    <mergeCell ref="AH7:AL7"/>
    <mergeCell ref="H9:N9"/>
    <mergeCell ref="AB9:AO10"/>
  </mergeCells>
  <phoneticPr fontId="15" type="noConversion"/>
  <conditionalFormatting sqref="Q5:Z5">
    <cfRule type="expression" dxfId="219" priority="6">
      <formula>$AU$9=2</formula>
    </cfRule>
  </conditionalFormatting>
  <conditionalFormatting sqref="Q6:AM8">
    <cfRule type="expression" dxfId="218"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O5:AP7" location="'cennik transportu PL'!A1" display="'cennik transportu PL'!A1" xr:uid="{31E73882-73F1-4F60-9AED-7DD55DDDE670}"/>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workbookViewId="0"/>
  </sheetViews>
  <sheetFormatPr defaultColWidth="0" defaultRowHeight="16.5" customHeight="1"/>
  <cols>
    <col min="1" max="30" width="4.42578125" style="1" customWidth="1"/>
    <col min="31" max="31" width="4.42578125" style="20" customWidth="1"/>
    <col min="32" max="32" width="4.42578125" style="18" customWidth="1"/>
    <col min="33" max="50" width="4.42578125" style="1" customWidth="1"/>
    <col min="51" max="16384" width="8.5703125" style="1" hidden="1"/>
  </cols>
  <sheetData>
    <row r="1" spans="1:50" ht="15">
      <c r="A1" s="81"/>
      <c r="B1" s="81"/>
      <c r="C1" s="81"/>
      <c r="D1" s="81"/>
      <c r="E1" s="81"/>
      <c r="F1" s="81"/>
      <c r="G1" s="81"/>
      <c r="H1" s="81"/>
      <c r="I1" s="81"/>
      <c r="J1" s="81"/>
      <c r="K1" s="81"/>
      <c r="L1" s="81"/>
      <c r="M1" s="81"/>
      <c r="N1" s="81"/>
      <c r="O1" s="81"/>
      <c r="P1" s="81"/>
      <c r="Q1" s="81"/>
      <c r="R1" s="81"/>
      <c r="S1" s="81"/>
      <c r="T1" s="81"/>
      <c r="U1" s="81"/>
      <c r="V1" s="81"/>
      <c r="AP1" s="81"/>
      <c r="AQ1" s="81"/>
      <c r="AR1" s="81"/>
      <c r="AS1" s="81"/>
      <c r="AT1" s="81"/>
      <c r="AU1" s="81"/>
      <c r="AV1" s="81"/>
      <c r="AW1" s="81"/>
      <c r="AX1" s="81"/>
    </row>
    <row r="2" spans="1:50" ht="15.7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27"/>
      <c r="AO2" s="27"/>
      <c r="AP2" s="27"/>
      <c r="AQ2" s="27"/>
      <c r="AR2" s="27"/>
      <c r="AS2" s="82"/>
      <c r="AT2" s="859" t="str">
        <f>'Translate&amp;Prices&amp;Logo'!$B$540</f>
        <v>Wprowadzenie</v>
      </c>
      <c r="AU2" s="859"/>
      <c r="AV2" s="859"/>
      <c r="AW2" s="859"/>
      <c r="AX2" s="82"/>
    </row>
    <row r="3" spans="1:50" ht="15.7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27"/>
      <c r="AM3" s="27"/>
      <c r="AN3" s="27"/>
      <c r="AO3" s="27"/>
      <c r="AP3" s="27"/>
      <c r="AQ3" s="27"/>
      <c r="AR3" s="27"/>
      <c r="AS3" s="82"/>
      <c r="AT3" s="859"/>
      <c r="AU3" s="859"/>
      <c r="AV3" s="859"/>
      <c r="AW3" s="859"/>
      <c r="AX3" s="82"/>
    </row>
    <row r="4" spans="1:50" ht="6.6" customHeight="1">
      <c r="A4" s="81"/>
      <c r="B4" s="81"/>
      <c r="C4" s="81"/>
      <c r="D4" s="81"/>
      <c r="E4" s="81"/>
      <c r="F4" s="81"/>
      <c r="G4" s="81"/>
      <c r="H4" s="81"/>
      <c r="I4" s="81"/>
      <c r="P4" s="783"/>
      <c r="Q4" s="783"/>
      <c r="R4" s="783"/>
      <c r="S4" s="783"/>
      <c r="T4" s="783"/>
      <c r="U4" s="783"/>
      <c r="V4" s="783"/>
      <c r="W4" s="783"/>
      <c r="X4" s="783"/>
      <c r="Y4" s="783"/>
      <c r="Z4" s="783"/>
      <c r="AA4" s="783"/>
      <c r="AB4" s="783"/>
      <c r="AC4" s="783"/>
      <c r="AD4" s="783"/>
      <c r="AP4" s="81"/>
      <c r="AQ4" s="81"/>
      <c r="AR4" s="81"/>
      <c r="AS4" s="81"/>
      <c r="AT4" s="81"/>
      <c r="AU4" s="81"/>
      <c r="AV4" s="81"/>
      <c r="AW4" s="81"/>
    </row>
    <row r="5" spans="1:50" ht="15" customHeight="1">
      <c r="A5" s="81"/>
      <c r="B5" s="81"/>
      <c r="C5" s="81"/>
      <c r="D5" s="81"/>
      <c r="E5" s="81"/>
      <c r="F5" s="81"/>
      <c r="G5" s="81"/>
      <c r="H5" s="81"/>
      <c r="I5" s="81"/>
      <c r="P5" s="783"/>
      <c r="Q5" s="783"/>
      <c r="R5" s="783"/>
      <c r="S5" s="783"/>
      <c r="T5" s="783"/>
      <c r="U5" s="783"/>
      <c r="V5" s="783"/>
      <c r="W5" s="783"/>
      <c r="X5" s="783"/>
      <c r="Y5" s="783"/>
      <c r="Z5" s="783"/>
      <c r="AA5" s="783"/>
      <c r="AB5" s="783"/>
      <c r="AC5" s="783"/>
      <c r="AD5" s="783"/>
      <c r="AP5" s="81"/>
      <c r="AQ5" s="81"/>
      <c r="AR5" s="81"/>
      <c r="AS5" s="81"/>
      <c r="AT5" s="81"/>
      <c r="AU5" s="81"/>
      <c r="AV5" s="81"/>
      <c r="AW5" s="81"/>
    </row>
    <row r="6" spans="1:50" ht="15">
      <c r="A6" s="81"/>
      <c r="B6" s="81"/>
      <c r="C6" s="81"/>
      <c r="D6" s="81"/>
      <c r="E6" s="81"/>
      <c r="F6" s="81"/>
      <c r="G6" s="81"/>
      <c r="H6" s="81"/>
      <c r="I6" s="81"/>
      <c r="J6" s="81"/>
      <c r="K6" s="81"/>
      <c r="L6" s="81"/>
      <c r="M6" s="81"/>
      <c r="N6" s="81"/>
      <c r="O6" s="81"/>
      <c r="P6" s="81"/>
      <c r="Q6" s="81"/>
      <c r="R6" s="81"/>
      <c r="S6" s="81"/>
      <c r="T6" s="81"/>
      <c r="U6" s="81"/>
      <c r="V6" s="81"/>
      <c r="AP6" s="81"/>
      <c r="AQ6" s="81"/>
      <c r="AR6" s="81"/>
      <c r="AS6" s="81"/>
      <c r="AT6" s="81"/>
      <c r="AU6" s="81"/>
      <c r="AV6" s="81"/>
      <c r="AW6" s="81"/>
      <c r="AX6" s="81"/>
    </row>
    <row r="7" spans="1:50" ht="14.85" customHeight="1"/>
    <row r="8" spans="1:50" ht="14.85" customHeight="1"/>
    <row r="9" spans="1:50" ht="14.85" customHeight="1"/>
    <row r="10" spans="1:50" s="46" customFormat="1" ht="14.85" customHeight="1"/>
    <row r="11" spans="1:50" ht="14.85" customHeight="1"/>
    <row r="12" spans="1:50" ht="14.85" customHeight="1"/>
    <row r="13" spans="1:50" ht="14.85" customHeight="1"/>
    <row r="14" spans="1:50" ht="14.85" customHeight="1"/>
    <row r="15" spans="1:50" ht="14.85" customHeight="1"/>
    <row r="16" spans="1:50" s="46"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46" customFormat="1" ht="14.85" customHeight="1"/>
    <row r="26" spans="2:50" ht="14.85" customHeight="1"/>
    <row r="27" spans="2:50" ht="14.85" customHeight="1"/>
    <row r="28" spans="2:50" ht="14.85" customHeight="1"/>
    <row r="29" spans="2:50" s="46" customFormat="1" ht="12">
      <c r="AQ29" s="860"/>
      <c r="AR29" s="860"/>
      <c r="AS29" s="860"/>
    </row>
    <row r="30" spans="2:50" ht="17.100000000000001" customHeight="1">
      <c r="B30" s="861" t="s">
        <v>152</v>
      </c>
      <c r="C30" s="861"/>
      <c r="D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row>
    <row r="31" spans="2:50" ht="15"/>
    <row r="32" spans="2:50" ht="15">
      <c r="B32" s="46"/>
      <c r="C32" s="856" t="s">
        <v>141</v>
      </c>
      <c r="D32" s="856"/>
      <c r="E32" s="856"/>
      <c r="F32" s="856"/>
      <c r="G32" s="856"/>
      <c r="H32" s="219"/>
      <c r="I32" s="856" t="s">
        <v>142</v>
      </c>
      <c r="J32" s="856"/>
      <c r="K32" s="856"/>
      <c r="L32" s="856"/>
      <c r="M32" s="856"/>
      <c r="N32" s="219"/>
      <c r="O32" s="856" t="s">
        <v>129</v>
      </c>
      <c r="P32" s="856"/>
      <c r="Q32" s="856"/>
      <c r="R32" s="856"/>
      <c r="S32" s="856"/>
      <c r="T32" s="219"/>
      <c r="U32" s="856" t="s">
        <v>131</v>
      </c>
      <c r="V32" s="856"/>
      <c r="W32" s="856"/>
      <c r="X32" s="856"/>
      <c r="Y32" s="856"/>
      <c r="Z32" s="219"/>
      <c r="AA32" s="856" t="s">
        <v>2311</v>
      </c>
      <c r="AB32" s="856"/>
      <c r="AC32" s="856"/>
      <c r="AD32" s="856"/>
      <c r="AE32" s="856"/>
      <c r="AF32" s="219"/>
      <c r="AG32" s="856" t="s">
        <v>139</v>
      </c>
      <c r="AH32" s="856"/>
      <c r="AI32" s="856"/>
      <c r="AJ32" s="856"/>
      <c r="AK32" s="856"/>
      <c r="AL32" s="219"/>
      <c r="AM32" s="856" t="s">
        <v>140</v>
      </c>
      <c r="AN32" s="856"/>
      <c r="AO32" s="856"/>
      <c r="AP32" s="856"/>
      <c r="AQ32" s="856"/>
      <c r="AR32" s="219"/>
      <c r="AS32" s="856" t="s">
        <v>144</v>
      </c>
      <c r="AT32" s="856"/>
      <c r="AU32" s="856"/>
      <c r="AV32" s="856"/>
      <c r="AW32" s="856"/>
      <c r="AX32" s="46"/>
    </row>
    <row r="33" spans="2:71" ht="8.85" customHeight="1">
      <c r="C33" s="218"/>
      <c r="D33" s="218"/>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row>
    <row r="34" spans="2:71" ht="15">
      <c r="C34" s="841"/>
      <c r="D34" s="841"/>
      <c r="E34" s="841"/>
      <c r="F34" s="841"/>
      <c r="G34" s="841"/>
      <c r="H34" s="218"/>
      <c r="I34" s="841"/>
      <c r="J34" s="841"/>
      <c r="K34" s="841"/>
      <c r="L34" s="841"/>
      <c r="M34" s="841"/>
      <c r="N34" s="218"/>
      <c r="O34" s="841"/>
      <c r="P34" s="841"/>
      <c r="Q34" s="841"/>
      <c r="R34" s="841"/>
      <c r="S34" s="841"/>
      <c r="T34" s="218"/>
      <c r="U34" s="841"/>
      <c r="V34" s="841"/>
      <c r="W34" s="841"/>
      <c r="X34" s="841"/>
      <c r="Y34" s="841"/>
      <c r="Z34" s="218"/>
      <c r="AA34" s="841"/>
      <c r="AB34" s="841"/>
      <c r="AC34" s="841"/>
      <c r="AD34" s="841"/>
      <c r="AE34" s="841"/>
      <c r="AF34" s="218"/>
      <c r="AG34" s="841"/>
      <c r="AH34" s="841"/>
      <c r="AI34" s="841"/>
      <c r="AJ34" s="841"/>
      <c r="AK34" s="841"/>
      <c r="AL34" s="218"/>
      <c r="AM34" s="841"/>
      <c r="AN34" s="841"/>
      <c r="AO34" s="841"/>
      <c r="AP34" s="841"/>
      <c r="AQ34" s="841"/>
      <c r="AR34" s="218"/>
      <c r="AS34" s="841"/>
      <c r="AT34" s="841"/>
      <c r="AU34" s="841"/>
      <c r="AV34" s="841"/>
      <c r="AW34" s="841"/>
    </row>
    <row r="35" spans="2:71" ht="14.85" customHeight="1">
      <c r="C35" s="841"/>
      <c r="D35" s="841"/>
      <c r="E35" s="841"/>
      <c r="F35" s="841"/>
      <c r="G35" s="841"/>
      <c r="H35" s="218"/>
      <c r="I35" s="841"/>
      <c r="J35" s="841"/>
      <c r="K35" s="841"/>
      <c r="L35" s="841"/>
      <c r="M35" s="841"/>
      <c r="N35" s="218"/>
      <c r="O35" s="841"/>
      <c r="P35" s="841"/>
      <c r="Q35" s="841"/>
      <c r="R35" s="841"/>
      <c r="S35" s="841"/>
      <c r="T35" s="218"/>
      <c r="U35" s="841"/>
      <c r="V35" s="841"/>
      <c r="W35" s="841"/>
      <c r="X35" s="841"/>
      <c r="Y35" s="841"/>
      <c r="Z35" s="218"/>
      <c r="AA35" s="841"/>
      <c r="AB35" s="841"/>
      <c r="AC35" s="841"/>
      <c r="AD35" s="841"/>
      <c r="AE35" s="841"/>
      <c r="AF35" s="218"/>
      <c r="AG35" s="841"/>
      <c r="AH35" s="841"/>
      <c r="AI35" s="841"/>
      <c r="AJ35" s="841"/>
      <c r="AK35" s="841"/>
      <c r="AL35" s="218"/>
      <c r="AM35" s="841"/>
      <c r="AN35" s="841"/>
      <c r="AO35" s="841"/>
      <c r="AP35" s="841"/>
      <c r="AQ35" s="841"/>
      <c r="AR35" s="218"/>
      <c r="AS35" s="841"/>
      <c r="AT35" s="841"/>
      <c r="AU35" s="841"/>
      <c r="AV35" s="841"/>
      <c r="AW35" s="841"/>
    </row>
    <row r="36" spans="2:71" ht="14.85" customHeight="1">
      <c r="C36" s="841"/>
      <c r="D36" s="841"/>
      <c r="E36" s="841"/>
      <c r="F36" s="841"/>
      <c r="G36" s="841"/>
      <c r="H36" s="218"/>
      <c r="I36" s="841"/>
      <c r="J36" s="841"/>
      <c r="K36" s="841"/>
      <c r="L36" s="841"/>
      <c r="M36" s="841"/>
      <c r="N36" s="218"/>
      <c r="O36" s="841"/>
      <c r="P36" s="841"/>
      <c r="Q36" s="841"/>
      <c r="R36" s="841"/>
      <c r="S36" s="841"/>
      <c r="T36" s="218"/>
      <c r="U36" s="841"/>
      <c r="V36" s="841"/>
      <c r="W36" s="841"/>
      <c r="X36" s="841"/>
      <c r="Y36" s="841"/>
      <c r="Z36" s="218"/>
      <c r="AA36" s="841"/>
      <c r="AB36" s="841"/>
      <c r="AC36" s="841"/>
      <c r="AD36" s="841"/>
      <c r="AE36" s="841"/>
      <c r="AF36" s="218"/>
      <c r="AG36" s="841"/>
      <c r="AH36" s="841"/>
      <c r="AI36" s="841"/>
      <c r="AJ36" s="841"/>
      <c r="AK36" s="841"/>
      <c r="AL36" s="218"/>
      <c r="AM36" s="841"/>
      <c r="AN36" s="841"/>
      <c r="AO36" s="841"/>
      <c r="AP36" s="841"/>
      <c r="AQ36" s="841"/>
      <c r="AR36" s="218"/>
      <c r="AS36" s="841"/>
      <c r="AT36" s="841"/>
      <c r="AU36" s="841"/>
      <c r="AV36" s="841"/>
      <c r="AW36" s="841"/>
    </row>
    <row r="37" spans="2:71" ht="14.85" customHeight="1">
      <c r="C37" s="218"/>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220"/>
      <c r="AF37" s="221"/>
      <c r="AG37" s="218"/>
      <c r="AH37" s="218"/>
      <c r="AI37" s="218"/>
      <c r="AJ37" s="218"/>
      <c r="AK37" s="218"/>
      <c r="AL37" s="218"/>
      <c r="AM37" s="218"/>
      <c r="AN37" s="218"/>
      <c r="AO37" s="218"/>
      <c r="AP37" s="218"/>
      <c r="AQ37" s="218"/>
      <c r="AR37" s="218"/>
      <c r="AS37" s="218"/>
      <c r="AT37" s="218"/>
      <c r="AU37" s="218"/>
      <c r="AV37" s="218"/>
      <c r="AW37" s="218"/>
      <c r="BC37" s="858" t="str">
        <f>'Translate&amp;Prices&amp;Logo'!$B$257</f>
        <v>Podgląd kolorów RAL i REF jest orientacyjny !!!</v>
      </c>
      <c r="BD37" s="858"/>
      <c r="BE37" s="858"/>
      <c r="BF37" s="858"/>
      <c r="BG37" s="858"/>
      <c r="BH37" s="858"/>
      <c r="BI37" s="858"/>
      <c r="BJ37" s="858"/>
      <c r="BK37" s="858"/>
      <c r="BL37" s="858"/>
      <c r="BM37" s="858"/>
      <c r="BN37" s="858"/>
      <c r="BO37" s="858"/>
      <c r="BP37" s="858"/>
      <c r="BQ37" s="858"/>
      <c r="BR37" s="858"/>
      <c r="BS37" s="858"/>
    </row>
    <row r="38" spans="2:71" ht="14.85" customHeight="1">
      <c r="B38" s="46"/>
      <c r="C38" s="856" t="s">
        <v>132</v>
      </c>
      <c r="D38" s="856"/>
      <c r="E38" s="856"/>
      <c r="F38" s="856"/>
      <c r="G38" s="856"/>
      <c r="H38" s="219"/>
      <c r="I38" s="856" t="s">
        <v>133</v>
      </c>
      <c r="J38" s="856"/>
      <c r="K38" s="856"/>
      <c r="L38" s="856"/>
      <c r="M38" s="856"/>
      <c r="N38" s="219"/>
      <c r="O38" s="856" t="s">
        <v>136</v>
      </c>
      <c r="P38" s="856"/>
      <c r="Q38" s="856"/>
      <c r="R38" s="856"/>
      <c r="S38" s="856"/>
      <c r="T38" s="219"/>
      <c r="U38" s="856" t="s">
        <v>138</v>
      </c>
      <c r="V38" s="856"/>
      <c r="W38" s="856"/>
      <c r="X38" s="856"/>
      <c r="Y38" s="856"/>
      <c r="Z38" s="219"/>
      <c r="AA38" s="856" t="s">
        <v>135</v>
      </c>
      <c r="AB38" s="856"/>
      <c r="AC38" s="856"/>
      <c r="AD38" s="856"/>
      <c r="AE38" s="856"/>
      <c r="AF38" s="219"/>
      <c r="AG38" s="856" t="s">
        <v>143</v>
      </c>
      <c r="AH38" s="856"/>
      <c r="AI38" s="856"/>
      <c r="AJ38" s="856"/>
      <c r="AK38" s="856"/>
      <c r="AL38" s="219"/>
      <c r="AM38" s="856" t="s">
        <v>2312</v>
      </c>
      <c r="AN38" s="856"/>
      <c r="AO38" s="856"/>
      <c r="AP38" s="856"/>
      <c r="AQ38" s="856"/>
      <c r="AR38" s="219"/>
      <c r="AS38" s="856" t="s">
        <v>2313</v>
      </c>
      <c r="AT38" s="856"/>
      <c r="AU38" s="856"/>
      <c r="AV38" s="856"/>
      <c r="AW38" s="856"/>
      <c r="AX38" s="46"/>
      <c r="BC38" s="857" t="str">
        <f>'Translate&amp;Prices&amp;Logo'!$B$329</f>
        <v>Wzornik szkieł można zamawiać pod kodami Lacebel VZK003P oraz Matelac VZK004P.</v>
      </c>
      <c r="BD38" s="857"/>
      <c r="BE38" s="857"/>
      <c r="BF38" s="857"/>
      <c r="BG38" s="857"/>
      <c r="BH38" s="857"/>
      <c r="BI38" s="857"/>
      <c r="BJ38" s="857"/>
      <c r="BK38" s="857"/>
      <c r="BL38" s="857"/>
      <c r="BM38" s="857"/>
      <c r="BN38" s="857"/>
      <c r="BO38" s="857"/>
      <c r="BP38" s="857"/>
      <c r="BQ38" s="857"/>
      <c r="BR38" s="857"/>
      <c r="BS38" s="857"/>
    </row>
    <row r="39" spans="2:71" ht="8.85" customHeight="1">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row>
    <row r="40" spans="2:71" ht="15">
      <c r="C40" s="841"/>
      <c r="D40" s="841"/>
      <c r="E40" s="841"/>
      <c r="F40" s="841"/>
      <c r="G40" s="841"/>
      <c r="H40" s="218"/>
      <c r="I40" s="841"/>
      <c r="J40" s="841"/>
      <c r="K40" s="841"/>
      <c r="L40" s="841"/>
      <c r="M40" s="841"/>
      <c r="N40" s="218"/>
      <c r="O40" s="841"/>
      <c r="P40" s="841"/>
      <c r="Q40" s="841"/>
      <c r="R40" s="841"/>
      <c r="S40" s="841"/>
      <c r="T40" s="218"/>
      <c r="U40" s="841"/>
      <c r="V40" s="841"/>
      <c r="W40" s="841"/>
      <c r="X40" s="841"/>
      <c r="Y40" s="841"/>
      <c r="Z40" s="218"/>
      <c r="AA40" s="841"/>
      <c r="AB40" s="841"/>
      <c r="AC40" s="841"/>
      <c r="AD40" s="841"/>
      <c r="AE40" s="841"/>
      <c r="AF40" s="218"/>
      <c r="AG40" s="841"/>
      <c r="AH40" s="841"/>
      <c r="AI40" s="841"/>
      <c r="AJ40" s="841"/>
      <c r="AK40" s="841"/>
      <c r="AL40" s="218"/>
      <c r="AM40" s="841"/>
      <c r="AN40" s="841"/>
      <c r="AO40" s="841"/>
      <c r="AP40" s="841"/>
      <c r="AQ40" s="841"/>
      <c r="AR40" s="218"/>
      <c r="AS40" s="841"/>
      <c r="AT40" s="841"/>
      <c r="AU40" s="841"/>
      <c r="AV40" s="841"/>
      <c r="AW40" s="841"/>
    </row>
    <row r="41" spans="2:71" ht="14.85" customHeight="1">
      <c r="C41" s="841"/>
      <c r="D41" s="841"/>
      <c r="E41" s="841"/>
      <c r="F41" s="841"/>
      <c r="G41" s="841"/>
      <c r="H41" s="218"/>
      <c r="I41" s="841"/>
      <c r="J41" s="841"/>
      <c r="K41" s="841"/>
      <c r="L41" s="841"/>
      <c r="M41" s="841"/>
      <c r="N41" s="218"/>
      <c r="O41" s="841"/>
      <c r="P41" s="841"/>
      <c r="Q41" s="841"/>
      <c r="R41" s="841"/>
      <c r="S41" s="841"/>
      <c r="T41" s="218"/>
      <c r="U41" s="841"/>
      <c r="V41" s="841"/>
      <c r="W41" s="841"/>
      <c r="X41" s="841"/>
      <c r="Y41" s="841"/>
      <c r="Z41" s="218"/>
      <c r="AA41" s="841"/>
      <c r="AB41" s="841"/>
      <c r="AC41" s="841"/>
      <c r="AD41" s="841"/>
      <c r="AE41" s="841"/>
      <c r="AF41" s="218"/>
      <c r="AG41" s="841"/>
      <c r="AH41" s="841"/>
      <c r="AI41" s="841"/>
      <c r="AJ41" s="841"/>
      <c r="AK41" s="841"/>
      <c r="AL41" s="218"/>
      <c r="AM41" s="841"/>
      <c r="AN41" s="841"/>
      <c r="AO41" s="841"/>
      <c r="AP41" s="841"/>
      <c r="AQ41" s="841"/>
      <c r="AR41" s="218"/>
      <c r="AS41" s="841"/>
      <c r="AT41" s="841"/>
      <c r="AU41" s="841"/>
      <c r="AV41" s="841"/>
      <c r="AW41" s="841"/>
    </row>
    <row r="42" spans="2:71" ht="14.85" customHeight="1">
      <c r="C42" s="841"/>
      <c r="D42" s="841"/>
      <c r="E42" s="841"/>
      <c r="F42" s="841"/>
      <c r="G42" s="841"/>
      <c r="H42" s="218"/>
      <c r="I42" s="841"/>
      <c r="J42" s="841"/>
      <c r="K42" s="841"/>
      <c r="L42" s="841"/>
      <c r="M42" s="841"/>
      <c r="N42" s="218"/>
      <c r="O42" s="841"/>
      <c r="P42" s="841"/>
      <c r="Q42" s="841"/>
      <c r="R42" s="841"/>
      <c r="S42" s="841"/>
      <c r="T42" s="218"/>
      <c r="U42" s="841"/>
      <c r="V42" s="841"/>
      <c r="W42" s="841"/>
      <c r="X42" s="841"/>
      <c r="Y42" s="841"/>
      <c r="Z42" s="218"/>
      <c r="AA42" s="841"/>
      <c r="AB42" s="841"/>
      <c r="AC42" s="841"/>
      <c r="AD42" s="841"/>
      <c r="AE42" s="841"/>
      <c r="AF42" s="218"/>
      <c r="AG42" s="841"/>
      <c r="AH42" s="841"/>
      <c r="AI42" s="841"/>
      <c r="AJ42" s="841"/>
      <c r="AK42" s="841"/>
      <c r="AL42" s="218"/>
      <c r="AM42" s="841"/>
      <c r="AN42" s="841"/>
      <c r="AO42" s="841"/>
      <c r="AP42" s="841"/>
      <c r="AQ42" s="841"/>
      <c r="AR42" s="218"/>
      <c r="AS42" s="841"/>
      <c r="AT42" s="841"/>
      <c r="AU42" s="841"/>
      <c r="AV42" s="841"/>
      <c r="AW42" s="841"/>
    </row>
    <row r="43" spans="2:71" ht="14.85" customHeight="1">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20"/>
      <c r="AF43" s="221"/>
      <c r="AG43" s="218"/>
      <c r="AH43" s="218"/>
      <c r="AI43" s="218"/>
      <c r="AJ43" s="218"/>
      <c r="AK43" s="218"/>
      <c r="AL43" s="218"/>
      <c r="AM43" s="218"/>
      <c r="AN43" s="218"/>
      <c r="AO43" s="218"/>
      <c r="AP43" s="218"/>
      <c r="AQ43" s="218"/>
      <c r="AR43" s="218"/>
      <c r="AS43" s="218"/>
      <c r="AT43" s="218"/>
      <c r="AU43" s="218"/>
      <c r="AV43" s="218"/>
      <c r="AW43" s="218"/>
      <c r="BC43" s="858"/>
      <c r="BD43" s="858"/>
      <c r="BE43" s="858"/>
      <c r="BF43" s="858"/>
      <c r="BG43" s="858"/>
      <c r="BH43" s="858"/>
      <c r="BI43" s="858"/>
      <c r="BJ43" s="858"/>
      <c r="BK43" s="858"/>
      <c r="BL43" s="858"/>
      <c r="BM43" s="858"/>
      <c r="BN43" s="858"/>
      <c r="BO43" s="858"/>
      <c r="BP43" s="858"/>
      <c r="BQ43" s="858"/>
      <c r="BR43" s="858"/>
      <c r="BS43" s="858"/>
    </row>
    <row r="44" spans="2:71" ht="14.85" customHeight="1">
      <c r="B44" s="46"/>
      <c r="C44" s="856" t="s">
        <v>137</v>
      </c>
      <c r="D44" s="856"/>
      <c r="E44" s="856"/>
      <c r="F44" s="856"/>
      <c r="G44" s="856"/>
      <c r="H44" s="219"/>
      <c r="I44" s="856" t="s">
        <v>134</v>
      </c>
      <c r="J44" s="856"/>
      <c r="K44" s="856"/>
      <c r="L44" s="856"/>
      <c r="M44" s="856"/>
      <c r="N44" s="219"/>
      <c r="O44" s="856" t="s">
        <v>145</v>
      </c>
      <c r="P44" s="856"/>
      <c r="Q44" s="856"/>
      <c r="R44" s="856"/>
      <c r="S44" s="856"/>
      <c r="T44" s="219"/>
      <c r="U44" s="856" t="s">
        <v>2314</v>
      </c>
      <c r="V44" s="856"/>
      <c r="W44" s="856"/>
      <c r="X44" s="856"/>
      <c r="Y44" s="856"/>
      <c r="Z44" s="219"/>
      <c r="AA44" s="856" t="s">
        <v>130</v>
      </c>
      <c r="AB44" s="856"/>
      <c r="AC44" s="856"/>
      <c r="AD44" s="856"/>
      <c r="AE44" s="856"/>
      <c r="AF44" s="219"/>
      <c r="AG44" s="856" t="s">
        <v>2315</v>
      </c>
      <c r="AH44" s="856"/>
      <c r="AI44" s="856"/>
      <c r="AJ44" s="856"/>
      <c r="AK44" s="856"/>
      <c r="AL44" s="219"/>
      <c r="AM44" s="856" t="s">
        <v>2316</v>
      </c>
      <c r="AN44" s="856"/>
      <c r="AO44" s="856"/>
      <c r="AP44" s="856"/>
      <c r="AQ44" s="856"/>
      <c r="AR44" s="219"/>
      <c r="AS44" s="856" t="s">
        <v>2317</v>
      </c>
      <c r="AT44" s="856"/>
      <c r="AU44" s="856"/>
      <c r="AV44" s="856"/>
      <c r="AW44" s="856"/>
      <c r="AX44" s="46"/>
      <c r="BC44" s="857"/>
      <c r="BD44" s="857"/>
      <c r="BE44" s="857"/>
      <c r="BF44" s="857"/>
      <c r="BG44" s="857"/>
      <c r="BH44" s="857"/>
      <c r="BI44" s="857"/>
      <c r="BJ44" s="857"/>
      <c r="BK44" s="857"/>
      <c r="BL44" s="857"/>
      <c r="BM44" s="857"/>
      <c r="BN44" s="857"/>
      <c r="BO44" s="857"/>
      <c r="BP44" s="857"/>
      <c r="BQ44" s="857"/>
      <c r="BR44" s="857"/>
      <c r="BS44" s="857"/>
    </row>
    <row r="45" spans="2:71" ht="8.85" customHeight="1">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row>
    <row r="46" spans="2:71" ht="15">
      <c r="C46" s="841"/>
      <c r="D46" s="841"/>
      <c r="E46" s="841"/>
      <c r="F46" s="841"/>
      <c r="G46" s="841"/>
      <c r="H46" s="218"/>
      <c r="I46" s="841"/>
      <c r="J46" s="841"/>
      <c r="K46" s="841"/>
      <c r="L46" s="841"/>
      <c r="M46" s="841"/>
      <c r="N46" s="218"/>
      <c r="O46" s="841"/>
      <c r="P46" s="841"/>
      <c r="Q46" s="841"/>
      <c r="R46" s="841"/>
      <c r="S46" s="841"/>
      <c r="T46" s="218"/>
      <c r="U46" s="841"/>
      <c r="V46" s="841"/>
      <c r="W46" s="841"/>
      <c r="X46" s="841"/>
      <c r="Y46" s="841"/>
      <c r="Z46" s="218"/>
      <c r="AA46" s="841"/>
      <c r="AB46" s="841"/>
      <c r="AC46" s="841"/>
      <c r="AD46" s="841"/>
      <c r="AE46" s="841"/>
      <c r="AF46" s="218"/>
      <c r="AG46" s="841"/>
      <c r="AH46" s="841"/>
      <c r="AI46" s="841"/>
      <c r="AJ46" s="841"/>
      <c r="AK46" s="841"/>
      <c r="AL46" s="218"/>
      <c r="AM46" s="841"/>
      <c r="AN46" s="841"/>
      <c r="AO46" s="841"/>
      <c r="AP46" s="841"/>
      <c r="AQ46" s="841"/>
      <c r="AR46" s="218"/>
      <c r="AS46" s="841"/>
      <c r="AT46" s="841"/>
      <c r="AU46" s="841"/>
      <c r="AV46" s="841"/>
      <c r="AW46" s="841"/>
    </row>
    <row r="47" spans="2:71" ht="14.85" customHeight="1">
      <c r="C47" s="841"/>
      <c r="D47" s="841"/>
      <c r="E47" s="841"/>
      <c r="F47" s="841"/>
      <c r="G47" s="841"/>
      <c r="H47" s="218"/>
      <c r="I47" s="841"/>
      <c r="J47" s="841"/>
      <c r="K47" s="841"/>
      <c r="L47" s="841"/>
      <c r="M47" s="841"/>
      <c r="N47" s="218"/>
      <c r="O47" s="841"/>
      <c r="P47" s="841"/>
      <c r="Q47" s="841"/>
      <c r="R47" s="841"/>
      <c r="S47" s="841"/>
      <c r="T47" s="218"/>
      <c r="U47" s="841"/>
      <c r="V47" s="841"/>
      <c r="W47" s="841"/>
      <c r="X47" s="841"/>
      <c r="Y47" s="841"/>
      <c r="Z47" s="218"/>
      <c r="AA47" s="841"/>
      <c r="AB47" s="841"/>
      <c r="AC47" s="841"/>
      <c r="AD47" s="841"/>
      <c r="AE47" s="841"/>
      <c r="AF47" s="218"/>
      <c r="AG47" s="841"/>
      <c r="AH47" s="841"/>
      <c r="AI47" s="841"/>
      <c r="AJ47" s="841"/>
      <c r="AK47" s="841"/>
      <c r="AL47" s="218"/>
      <c r="AM47" s="841"/>
      <c r="AN47" s="841"/>
      <c r="AO47" s="841"/>
      <c r="AP47" s="841"/>
      <c r="AQ47" s="841"/>
      <c r="AR47" s="218"/>
      <c r="AS47" s="841"/>
      <c r="AT47" s="841"/>
      <c r="AU47" s="841"/>
      <c r="AV47" s="841"/>
      <c r="AW47" s="841"/>
    </row>
    <row r="48" spans="2:71" ht="14.85" customHeight="1">
      <c r="C48" s="841"/>
      <c r="D48" s="841"/>
      <c r="E48" s="841"/>
      <c r="F48" s="841"/>
      <c r="G48" s="841"/>
      <c r="H48" s="218"/>
      <c r="I48" s="841"/>
      <c r="J48" s="841"/>
      <c r="K48" s="841"/>
      <c r="L48" s="841"/>
      <c r="M48" s="841"/>
      <c r="N48" s="218"/>
      <c r="O48" s="841"/>
      <c r="P48" s="841"/>
      <c r="Q48" s="841"/>
      <c r="R48" s="841"/>
      <c r="S48" s="841"/>
      <c r="T48" s="218"/>
      <c r="U48" s="841"/>
      <c r="V48" s="841"/>
      <c r="W48" s="841"/>
      <c r="X48" s="841"/>
      <c r="Y48" s="841"/>
      <c r="Z48" s="218"/>
      <c r="AA48" s="841"/>
      <c r="AB48" s="841"/>
      <c r="AC48" s="841"/>
      <c r="AD48" s="841"/>
      <c r="AE48" s="841"/>
      <c r="AF48" s="218"/>
      <c r="AG48" s="841"/>
      <c r="AH48" s="841"/>
      <c r="AI48" s="841"/>
      <c r="AJ48" s="841"/>
      <c r="AK48" s="841"/>
      <c r="AL48" s="218"/>
      <c r="AM48" s="841"/>
      <c r="AN48" s="841"/>
      <c r="AO48" s="841"/>
      <c r="AP48" s="841"/>
      <c r="AQ48" s="841"/>
      <c r="AR48" s="218"/>
      <c r="AS48" s="841"/>
      <c r="AT48" s="841"/>
      <c r="AU48" s="841"/>
      <c r="AV48" s="841"/>
      <c r="AW48" s="841"/>
    </row>
    <row r="49" spans="2:71" ht="14.85" customHeight="1">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20"/>
      <c r="AF49" s="221"/>
      <c r="AG49" s="218"/>
      <c r="AH49" s="218"/>
      <c r="AI49" s="218"/>
      <c r="AJ49" s="218"/>
      <c r="AK49" s="218"/>
      <c r="AL49" s="218"/>
      <c r="AM49" s="218"/>
      <c r="AN49" s="218"/>
      <c r="AO49" s="218"/>
      <c r="AP49" s="218"/>
      <c r="AQ49" s="218"/>
      <c r="AR49" s="218"/>
      <c r="AS49" s="218"/>
      <c r="AT49" s="218"/>
      <c r="AU49" s="218"/>
      <c r="AV49" s="218"/>
      <c r="AW49" s="218"/>
      <c r="BC49" s="858"/>
      <c r="BD49" s="858"/>
      <c r="BE49" s="858"/>
      <c r="BF49" s="858"/>
      <c r="BG49" s="858"/>
      <c r="BH49" s="858"/>
      <c r="BI49" s="858"/>
      <c r="BJ49" s="858"/>
      <c r="BK49" s="858"/>
      <c r="BL49" s="858"/>
      <c r="BM49" s="858"/>
      <c r="BN49" s="858"/>
      <c r="BO49" s="858"/>
      <c r="BP49" s="858"/>
      <c r="BQ49" s="858"/>
      <c r="BR49" s="858"/>
      <c r="BS49" s="858"/>
    </row>
    <row r="50" spans="2:71" ht="14.85" customHeight="1"/>
    <row r="51" spans="2:71" ht="14.85" customHeight="1"/>
    <row r="52" spans="2:71" ht="17.100000000000001" customHeight="1">
      <c r="B52" s="861" t="s">
        <v>153</v>
      </c>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row>
    <row r="53" spans="2:71" ht="14.85" customHeight="1">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U53" s="47"/>
      <c r="AV53" s="47"/>
      <c r="AW53" s="47"/>
      <c r="AX53" s="47"/>
    </row>
    <row r="54" spans="2:71" ht="14.85" customHeight="1">
      <c r="B54" s="46"/>
      <c r="H54" s="219"/>
      <c r="I54" s="856" t="s">
        <v>136</v>
      </c>
      <c r="J54" s="856"/>
      <c r="K54" s="856"/>
      <c r="L54" s="856"/>
      <c r="M54" s="856"/>
      <c r="N54" s="219"/>
      <c r="O54" s="856" t="s">
        <v>2318</v>
      </c>
      <c r="P54" s="856"/>
      <c r="Q54" s="856"/>
      <c r="R54" s="856"/>
      <c r="S54" s="856"/>
      <c r="T54" s="219"/>
      <c r="U54" s="856" t="s">
        <v>135</v>
      </c>
      <c r="V54" s="856"/>
      <c r="W54" s="856"/>
      <c r="X54" s="856"/>
      <c r="Y54" s="856"/>
      <c r="Z54" s="219"/>
      <c r="AA54" s="856" t="s">
        <v>2319</v>
      </c>
      <c r="AB54" s="856"/>
      <c r="AC54" s="856"/>
      <c r="AD54" s="856"/>
      <c r="AE54" s="856"/>
      <c r="AF54" s="219"/>
      <c r="AG54" s="856" t="s">
        <v>2320</v>
      </c>
      <c r="AH54" s="856"/>
      <c r="AI54" s="856"/>
      <c r="AJ54" s="856"/>
      <c r="AK54" s="856"/>
      <c r="AL54" s="219"/>
      <c r="AM54" s="856" t="s">
        <v>132</v>
      </c>
      <c r="AN54" s="856"/>
      <c r="AO54" s="856"/>
      <c r="AP54" s="856"/>
      <c r="AQ54" s="856"/>
      <c r="AR54" s="219"/>
      <c r="AS54" s="856"/>
      <c r="AT54" s="856"/>
      <c r="AU54" s="856"/>
      <c r="AV54" s="856"/>
      <c r="AW54" s="856"/>
      <c r="AX54" s="46"/>
      <c r="BC54" s="857"/>
      <c r="BD54" s="857"/>
      <c r="BE54" s="857"/>
      <c r="BF54" s="857"/>
      <c r="BG54" s="857"/>
      <c r="BH54" s="857"/>
      <c r="BI54" s="857"/>
      <c r="BJ54" s="857"/>
      <c r="BK54" s="857"/>
      <c r="BL54" s="857"/>
      <c r="BM54" s="857"/>
      <c r="BN54" s="857"/>
      <c r="BO54" s="857"/>
      <c r="BP54" s="857"/>
      <c r="BQ54" s="857"/>
      <c r="BR54" s="857"/>
      <c r="BS54" s="857"/>
    </row>
    <row r="55" spans="2:71" ht="8.85" customHeight="1">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row>
    <row r="56" spans="2:71" ht="15">
      <c r="C56" s="841"/>
      <c r="D56" s="841"/>
      <c r="E56" s="841"/>
      <c r="F56" s="841"/>
      <c r="G56" s="841"/>
      <c r="H56" s="218"/>
      <c r="I56" s="841"/>
      <c r="J56" s="841"/>
      <c r="K56" s="841"/>
      <c r="L56" s="841"/>
      <c r="M56" s="841"/>
      <c r="N56" s="218"/>
      <c r="O56" s="841"/>
      <c r="P56" s="841"/>
      <c r="Q56" s="841"/>
      <c r="R56" s="841"/>
      <c r="S56" s="841"/>
      <c r="T56" s="218"/>
      <c r="U56" s="841"/>
      <c r="V56" s="841"/>
      <c r="W56" s="841"/>
      <c r="X56" s="841"/>
      <c r="Y56" s="841"/>
      <c r="Z56" s="218"/>
      <c r="AA56" s="841"/>
      <c r="AB56" s="841"/>
      <c r="AC56" s="841"/>
      <c r="AD56" s="841"/>
      <c r="AE56" s="841"/>
      <c r="AF56" s="218"/>
      <c r="AG56" s="841"/>
      <c r="AH56" s="841"/>
      <c r="AI56" s="841"/>
      <c r="AJ56" s="841"/>
      <c r="AK56" s="841"/>
      <c r="AL56" s="218"/>
      <c r="AM56" s="841"/>
      <c r="AN56" s="841"/>
      <c r="AO56" s="841"/>
      <c r="AP56" s="841"/>
      <c r="AQ56" s="841"/>
      <c r="AR56" s="218"/>
      <c r="AS56" s="841"/>
      <c r="AT56" s="841"/>
      <c r="AU56" s="841"/>
      <c r="AV56" s="841"/>
      <c r="AW56" s="841"/>
    </row>
    <row r="57" spans="2:71" ht="14.85" customHeight="1">
      <c r="C57" s="841"/>
      <c r="D57" s="841"/>
      <c r="E57" s="841"/>
      <c r="F57" s="841"/>
      <c r="G57" s="841"/>
      <c r="H57" s="218"/>
      <c r="I57" s="841"/>
      <c r="J57" s="841"/>
      <c r="K57" s="841"/>
      <c r="L57" s="841"/>
      <c r="M57" s="841"/>
      <c r="N57" s="218"/>
      <c r="O57" s="841"/>
      <c r="P57" s="841"/>
      <c r="Q57" s="841"/>
      <c r="R57" s="841"/>
      <c r="S57" s="841"/>
      <c r="T57" s="218"/>
      <c r="U57" s="841"/>
      <c r="V57" s="841"/>
      <c r="W57" s="841"/>
      <c r="X57" s="841"/>
      <c r="Y57" s="841"/>
      <c r="Z57" s="218"/>
      <c r="AA57" s="841"/>
      <c r="AB57" s="841"/>
      <c r="AC57" s="841"/>
      <c r="AD57" s="841"/>
      <c r="AE57" s="841"/>
      <c r="AF57" s="218"/>
      <c r="AG57" s="841"/>
      <c r="AH57" s="841"/>
      <c r="AI57" s="841"/>
      <c r="AJ57" s="841"/>
      <c r="AK57" s="841"/>
      <c r="AL57" s="218"/>
      <c r="AM57" s="841"/>
      <c r="AN57" s="841"/>
      <c r="AO57" s="841"/>
      <c r="AP57" s="841"/>
      <c r="AQ57" s="841"/>
      <c r="AR57" s="218"/>
      <c r="AS57" s="841"/>
      <c r="AT57" s="841"/>
      <c r="AU57" s="841"/>
      <c r="AV57" s="841"/>
      <c r="AW57" s="841"/>
    </row>
    <row r="58" spans="2:71" ht="14.85" customHeight="1">
      <c r="C58" s="841"/>
      <c r="D58" s="841"/>
      <c r="E58" s="841"/>
      <c r="F58" s="841"/>
      <c r="G58" s="841"/>
      <c r="H58" s="218"/>
      <c r="I58" s="841"/>
      <c r="J58" s="841"/>
      <c r="K58" s="841"/>
      <c r="L58" s="841"/>
      <c r="M58" s="841"/>
      <c r="N58" s="218"/>
      <c r="O58" s="841"/>
      <c r="P58" s="841"/>
      <c r="Q58" s="841"/>
      <c r="R58" s="841"/>
      <c r="S58" s="841"/>
      <c r="T58" s="218"/>
      <c r="U58" s="841"/>
      <c r="V58" s="841"/>
      <c r="W58" s="841"/>
      <c r="X58" s="841"/>
      <c r="Y58" s="841"/>
      <c r="Z58" s="218"/>
      <c r="AA58" s="841"/>
      <c r="AB58" s="841"/>
      <c r="AC58" s="841"/>
      <c r="AD58" s="841"/>
      <c r="AE58" s="841"/>
      <c r="AF58" s="218"/>
      <c r="AG58" s="841"/>
      <c r="AH58" s="841"/>
      <c r="AI58" s="841"/>
      <c r="AJ58" s="841"/>
      <c r="AK58" s="841"/>
      <c r="AL58" s="218"/>
      <c r="AM58" s="841"/>
      <c r="AN58" s="841"/>
      <c r="AO58" s="841"/>
      <c r="AP58" s="841"/>
      <c r="AQ58" s="841"/>
      <c r="AR58" s="218"/>
      <c r="AS58" s="841"/>
      <c r="AT58" s="841"/>
      <c r="AU58" s="841"/>
      <c r="AV58" s="841"/>
      <c r="AW58" s="841"/>
    </row>
    <row r="59" spans="2:71" ht="14.85" customHeight="1">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20"/>
      <c r="AF59" s="221"/>
      <c r="AG59" s="218"/>
      <c r="AH59" s="218"/>
      <c r="AI59" s="218"/>
      <c r="AJ59" s="218"/>
      <c r="AK59" s="218"/>
      <c r="AL59" s="218"/>
      <c r="AM59" s="218"/>
      <c r="AN59" s="218"/>
      <c r="AO59" s="218"/>
      <c r="AP59" s="218"/>
      <c r="AQ59" s="218"/>
      <c r="AR59" s="218"/>
      <c r="AS59" s="218"/>
      <c r="AT59" s="218"/>
      <c r="AU59" s="218"/>
      <c r="AV59" s="218"/>
      <c r="AW59" s="218"/>
      <c r="BC59" s="858"/>
      <c r="BD59" s="858"/>
      <c r="BE59" s="858"/>
      <c r="BF59" s="858"/>
      <c r="BG59" s="858"/>
      <c r="BH59" s="858"/>
      <c r="BI59" s="858"/>
      <c r="BJ59" s="858"/>
      <c r="BK59" s="858"/>
      <c r="BL59" s="858"/>
      <c r="BM59" s="858"/>
      <c r="BN59" s="858"/>
      <c r="BO59" s="858"/>
      <c r="BP59" s="858"/>
      <c r="BQ59" s="858"/>
      <c r="BR59" s="858"/>
      <c r="BS59" s="858"/>
    </row>
    <row r="60" spans="2:71" ht="14.85" customHeight="1">
      <c r="Q60" s="850"/>
      <c r="R60" s="850"/>
      <c r="S60" s="850"/>
    </row>
    <row r="62" spans="2:71" ht="16.5" customHeight="1">
      <c r="B62" s="861" t="str">
        <f>'Translate&amp;Prices&amp;Logo'!$B$653</f>
        <v>Wypełnienie z siatki</v>
      </c>
      <c r="C62" s="861"/>
      <c r="D62" s="861"/>
      <c r="E62" s="861"/>
      <c r="F62" s="861"/>
      <c r="G62" s="861"/>
      <c r="H62" s="861"/>
      <c r="I62" s="861"/>
      <c r="J62" s="861"/>
      <c r="K62" s="861"/>
      <c r="L62" s="861"/>
      <c r="M62" s="861"/>
      <c r="N62" s="861"/>
      <c r="O62" s="861"/>
      <c r="P62" s="861"/>
      <c r="Q62" s="861"/>
      <c r="R62" s="861"/>
      <c r="S62" s="861"/>
      <c r="T62" s="861"/>
      <c r="U62" s="861"/>
      <c r="V62" s="861"/>
      <c r="W62" s="861"/>
      <c r="X62" s="861"/>
      <c r="Y62" s="861"/>
      <c r="Z62" s="861"/>
      <c r="AA62" s="861"/>
      <c r="AB62" s="861"/>
      <c r="AC62" s="861"/>
      <c r="AD62" s="861"/>
      <c r="AE62" s="861"/>
      <c r="AF62" s="861"/>
      <c r="AG62" s="861"/>
      <c r="AH62" s="861"/>
      <c r="AI62" s="861"/>
      <c r="AJ62" s="861"/>
      <c r="AK62" s="861"/>
      <c r="AL62" s="861"/>
      <c r="AM62" s="861"/>
      <c r="AN62" s="861"/>
      <c r="AO62" s="861"/>
      <c r="AP62" s="861"/>
      <c r="AQ62" s="861"/>
      <c r="AR62" s="861"/>
      <c r="AS62" s="861"/>
      <c r="AT62" s="861"/>
      <c r="AU62" s="861"/>
      <c r="AV62" s="861"/>
      <c r="AW62" s="861"/>
      <c r="AX62" s="861"/>
    </row>
    <row r="66" spans="2:2" ht="16.5" customHeight="1">
      <c r="B66" s="1" t="str">
        <f>CONCATENATE('Translate&amp;Prices&amp;Logo'!B164," - ",'Translate&amp;Prices&amp;Logo'!$B$670)</f>
        <v>siatka alu złota - oko 10x6x1 mm - przezroczystość 67%</v>
      </c>
    </row>
    <row r="67" spans="2:2" ht="16.5" customHeight="1">
      <c r="B67" s="1" t="str">
        <f>CONCATENATE('Translate&amp;Prices&amp;Logo'!B165," - ",'Translate&amp;Prices&amp;Logo'!$B$669)</f>
        <v>siatka stal czarny mat RAL 9005– oko 8x4x1 mm - przezroczystość 50%</v>
      </c>
    </row>
    <row r="68" spans="2:2" ht="16.5" customHeight="1">
      <c r="B68" s="1" t="str">
        <f>CONCATENATE('Translate&amp;Prices&amp;Logo'!B166," - ",'Translate&amp;Prices&amp;Logo'!$B$669)</f>
        <v>siatka stalowa biała - oko 8x4x1 mm - przezroczystość 50%</v>
      </c>
    </row>
    <row r="69" spans="2:2" ht="16.5" customHeight="1">
      <c r="B69" s="1" t="str">
        <f>CONCATENATE('Translate&amp;Prices&amp;Logo'!B167," - ",'Translate&amp;Prices&amp;Logo'!$B$670)</f>
        <v>siatka elox - oko 10x6x1 mm - przezroczystość 67%</v>
      </c>
    </row>
  </sheetData>
  <sheetProtection algorithmName="SHA-512" hashValue="LsdYe44qiNtQFd+3JWYl3wVQ27MvJgQGz2fb1zZ8KHj1hZ0+uc5tjilbfaGGy3hIu/aSLYTcN/X+U4T4OcIXJg==" saltValue="j3GP7RBmH4idl9bT+cSnxQ==" spinCount="100000" sheet="1" objects="1" scenarios="1"/>
  <mergeCells count="77">
    <mergeCell ref="B62:AX62"/>
    <mergeCell ref="BC59:BS59"/>
    <mergeCell ref="BC54:BS54"/>
    <mergeCell ref="C56:G58"/>
    <mergeCell ref="I56:M58"/>
    <mergeCell ref="O56:S58"/>
    <mergeCell ref="U56:Y58"/>
    <mergeCell ref="AA56:AE58"/>
    <mergeCell ref="AG56:AK58"/>
    <mergeCell ref="AM56:AQ58"/>
    <mergeCell ref="AS56:AW58"/>
    <mergeCell ref="Q60:S60"/>
    <mergeCell ref="B52:AX52"/>
    <mergeCell ref="AM54:AQ54"/>
    <mergeCell ref="I54:M54"/>
    <mergeCell ref="O54:S54"/>
    <mergeCell ref="U54:Y54"/>
    <mergeCell ref="AA54:AE54"/>
    <mergeCell ref="AG54:AK54"/>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C38:G38"/>
    <mergeCell ref="I38:M38"/>
    <mergeCell ref="O38:S38"/>
    <mergeCell ref="U38:Y38"/>
    <mergeCell ref="AA38:AE3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BC44:BS44"/>
    <mergeCell ref="BC49:BS49"/>
    <mergeCell ref="BC43:BS43"/>
    <mergeCell ref="AG46:AK48"/>
    <mergeCell ref="BC37:BS37"/>
    <mergeCell ref="BC38:BS38"/>
    <mergeCell ref="AM46:AQ48"/>
    <mergeCell ref="AS46:AW48"/>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GridLines="0" showRowColHeaders="0" showZeros="0" workbookViewId="0">
      <selection activeCell="X4" sqref="X4:AE5"/>
    </sheetView>
  </sheetViews>
  <sheetFormatPr defaultColWidth="0" defaultRowHeight="14.85" customHeight="1"/>
  <cols>
    <col min="1" max="11" width="4.42578125" style="1" customWidth="1"/>
    <col min="12" max="15" width="5.5703125" style="1" customWidth="1"/>
    <col min="16" max="22" width="4.42578125" style="1" customWidth="1"/>
    <col min="23" max="26" width="6.140625" style="1" customWidth="1"/>
    <col min="27" max="27" width="4" style="1" customWidth="1"/>
    <col min="28" max="28" width="2.140625" style="1" customWidth="1"/>
    <col min="29" max="30" width="6.42578125" style="1" customWidth="1"/>
    <col min="31" max="31" width="6.42578125" style="20" customWidth="1"/>
    <col min="32" max="32" width="6.42578125" style="18" customWidth="1"/>
    <col min="33" max="34" width="6.140625" style="1" customWidth="1"/>
    <col min="35" max="35" width="15.28515625" style="1" customWidth="1"/>
    <col min="36" max="37" width="6.140625" style="1" customWidth="1"/>
    <col min="38" max="41" width="6.42578125" style="1" customWidth="1"/>
    <col min="42" max="42" width="4.42578125" style="1" customWidth="1"/>
    <col min="43" max="43" width="8.5703125" style="1" customWidth="1"/>
    <col min="44" max="44" width="8.7109375" style="1" customWidth="1"/>
    <col min="45" max="52" width="8.5703125" style="1" hidden="1" customWidth="1"/>
    <col min="53" max="54" width="8.5703125" style="19" hidden="1" customWidth="1"/>
    <col min="55" max="55" width="8.5703125" style="1" hidden="1" customWidth="1"/>
    <col min="56" max="57" width="12.5703125" style="1" hidden="1" customWidth="1"/>
    <col min="58" max="60" width="8.5703125" style="1" hidden="1" customWidth="1"/>
    <col min="61" max="61" width="14.42578125" style="1" hidden="1" customWidth="1"/>
    <col min="62" max="62" width="20.28515625" style="1" hidden="1" customWidth="1"/>
    <col min="63" max="64" width="8.5703125" style="1" hidden="1" customWidth="1"/>
    <col min="65" max="65" width="21.85546875" style="1" hidden="1" customWidth="1"/>
    <col min="66" max="88" width="8.5703125" style="1" hidden="1" customWidth="1"/>
    <col min="89" max="89" width="34.28515625" style="1" hidden="1" customWidth="1"/>
    <col min="90" max="90" width="25" style="1" hidden="1" customWidth="1"/>
    <col min="91" max="16384" width="8.5703125" style="1" hidden="1"/>
  </cols>
  <sheetData>
    <row r="1" spans="1:90" ht="15">
      <c r="A1" s="81"/>
      <c r="B1" s="81"/>
      <c r="C1" s="81"/>
      <c r="D1" s="81"/>
      <c r="E1" s="81"/>
      <c r="F1" s="81"/>
      <c r="G1" s="81"/>
      <c r="H1" s="81"/>
      <c r="I1" s="81"/>
      <c r="J1" s="81"/>
      <c r="K1" s="81"/>
      <c r="L1" s="81"/>
      <c r="M1" s="81"/>
      <c r="N1" s="81"/>
      <c r="O1" s="81"/>
      <c r="P1" s="81"/>
      <c r="Q1" s="81"/>
      <c r="R1" s="81"/>
      <c r="S1" s="81"/>
      <c r="T1" s="81"/>
      <c r="U1" s="81"/>
      <c r="V1" s="81"/>
      <c r="AO1" s="849">
        <f ca="1">TODAY()</f>
        <v>46099</v>
      </c>
      <c r="AP1" s="850"/>
      <c r="AQ1" s="850"/>
      <c r="AR1" s="850"/>
    </row>
    <row r="2" spans="1:90"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781"/>
      <c r="AO2" s="782"/>
      <c r="AP2" s="782"/>
      <c r="AQ2" s="782"/>
      <c r="AR2" s="782"/>
      <c r="CK2" t="s">
        <v>2710</v>
      </c>
      <c r="CL2" t="s">
        <v>3419</v>
      </c>
    </row>
    <row r="3" spans="1:90"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7"/>
      <c r="AF3" s="27"/>
      <c r="AG3" s="27"/>
      <c r="AH3" s="27"/>
      <c r="AI3" s="27"/>
      <c r="AJ3" s="27"/>
      <c r="AK3" s="27"/>
      <c r="AL3" s="27"/>
      <c r="AM3" s="27"/>
      <c r="AN3" s="781"/>
      <c r="AO3" s="782"/>
      <c r="AP3" s="782"/>
      <c r="AQ3" s="782"/>
      <c r="AR3" s="782"/>
      <c r="CK3" t="s">
        <v>2711</v>
      </c>
      <c r="CL3" t="s">
        <v>2711</v>
      </c>
    </row>
    <row r="4" spans="1:90" ht="14.85" customHeight="1">
      <c r="X4" s="897">
        <f>IF(AND(Hlavní!V39=3,Zakaznik!K23="Dostawa na adres"),_souhrn!AH$7,_souhrn!AH$5)</f>
        <v>0</v>
      </c>
      <c r="Y4" s="898"/>
      <c r="Z4" s="898"/>
      <c r="AA4" s="898"/>
      <c r="AB4" s="898"/>
      <c r="AC4" s="898"/>
      <c r="AD4" s="898"/>
      <c r="AE4" s="898"/>
      <c r="AF4" s="899" t="str">
        <f>VLOOKUP('Translate&amp;Prices&amp;Logo'!D1,kombinace_1!$EV$1:$EW$6,2,0)</f>
        <v>zl</v>
      </c>
      <c r="AG4" s="194"/>
      <c r="AH4" s="194"/>
      <c r="AI4" s="194"/>
      <c r="AJ4" s="194"/>
      <c r="AK4" s="194"/>
      <c r="AL4" s="194"/>
      <c r="AM4" s="194"/>
      <c r="AN4" s="195"/>
      <c r="AO4" s="194"/>
      <c r="AP4" s="194"/>
      <c r="AQ4" s="194"/>
      <c r="CK4" t="s">
        <v>1453</v>
      </c>
      <c r="CL4" t="s">
        <v>4530</v>
      </c>
    </row>
    <row r="5" spans="1:90" ht="14.85" customHeight="1">
      <c r="B5" s="862" t="s">
        <v>3755</v>
      </c>
      <c r="C5" s="862"/>
      <c r="D5" s="896">
        <f>Zakaznik!K23</f>
        <v>0</v>
      </c>
      <c r="E5" s="896"/>
      <c r="F5" s="896"/>
      <c r="G5" s="896"/>
      <c r="H5" s="896"/>
      <c r="I5" s="896"/>
      <c r="J5" s="896"/>
      <c r="K5" s="896"/>
      <c r="L5" s="65"/>
      <c r="M5" s="100" t="str">
        <f>IF(D5="Dostawa na adres",Zakaznik!E13,"")</f>
        <v/>
      </c>
      <c r="N5" s="100"/>
      <c r="O5" s="365" t="str">
        <f>IF(D5="Dostawa na adres",Zakaznik!K13,"")</f>
        <v/>
      </c>
      <c r="P5" s="365"/>
      <c r="Q5" s="365"/>
      <c r="R5" s="365"/>
      <c r="S5" s="365"/>
      <c r="T5" s="365"/>
      <c r="U5" s="365"/>
      <c r="V5" s="46"/>
      <c r="W5" s="46"/>
      <c r="X5" s="898"/>
      <c r="Y5" s="898"/>
      <c r="Z5" s="898"/>
      <c r="AA5" s="898"/>
      <c r="AB5" s="898"/>
      <c r="AC5" s="898"/>
      <c r="AD5" s="898"/>
      <c r="AE5" s="898"/>
      <c r="AF5" s="899"/>
      <c r="AG5" s="194"/>
      <c r="AH5" s="194"/>
      <c r="AI5" s="46"/>
      <c r="AJ5" s="46"/>
      <c r="AL5" s="65"/>
      <c r="AM5" s="65"/>
      <c r="AN5" s="65"/>
      <c r="AO5" s="65"/>
      <c r="CK5" t="s">
        <v>1458</v>
      </c>
      <c r="CL5" t="s">
        <v>4531</v>
      </c>
    </row>
    <row r="6" spans="1:90" ht="14.85" customHeight="1">
      <c r="B6" s="66"/>
      <c r="C6" s="66"/>
      <c r="D6" s="895" t="str">
        <f>IF(Zakaznik!$K$23="Dostawa na adres",Zakaznik!K25,"")</f>
        <v/>
      </c>
      <c r="E6" s="895"/>
      <c r="F6" s="895"/>
      <c r="G6" s="895"/>
      <c r="H6" s="895"/>
      <c r="I6" s="895"/>
      <c r="J6" s="895"/>
      <c r="K6" s="895"/>
      <c r="L6" s="65"/>
      <c r="M6" s="65"/>
      <c r="N6" s="65"/>
      <c r="O6" s="65"/>
      <c r="P6" s="65"/>
      <c r="Q6" s="366"/>
      <c r="R6" s="366"/>
      <c r="S6" s="366"/>
      <c r="T6" s="366"/>
      <c r="U6" s="366"/>
      <c r="V6" s="46"/>
      <c r="W6" s="46"/>
      <c r="Y6" s="65"/>
      <c r="Z6" s="65"/>
      <c r="AA6" s="65"/>
      <c r="AB6" s="65"/>
      <c r="AD6" s="46"/>
      <c r="AE6" s="46"/>
      <c r="AF6" s="46"/>
      <c r="AG6" s="46"/>
      <c r="AH6" s="46"/>
      <c r="AI6" s="46"/>
      <c r="AJ6" s="46"/>
      <c r="AL6" s="179"/>
      <c r="AM6" s="180"/>
      <c r="AN6" s="180"/>
      <c r="AO6" s="180"/>
      <c r="CK6" t="s">
        <v>2649</v>
      </c>
      <c r="CL6" t="s">
        <v>2649</v>
      </c>
    </row>
    <row r="7" spans="1:90" ht="14.85" customHeight="1">
      <c r="B7" s="66"/>
      <c r="C7" s="66"/>
      <c r="D7" s="895" t="str">
        <f>IF(Zakaznik!$K$23="Dostawa na adres",Zakaznik!K26,"")</f>
        <v/>
      </c>
      <c r="E7" s="895"/>
      <c r="F7" s="895"/>
      <c r="G7" s="895"/>
      <c r="H7" s="895"/>
      <c r="I7" s="895"/>
      <c r="J7" s="895"/>
      <c r="K7" s="895"/>
      <c r="L7" s="100"/>
      <c r="M7" s="100" t="str">
        <f>IF(D5="Dostawa na adres",Zakaznik!E17,"")</f>
        <v/>
      </c>
      <c r="N7" s="100"/>
      <c r="O7" s="100"/>
      <c r="P7" s="100"/>
      <c r="Q7" s="367" t="str">
        <f>IF(D5="Dostawa na adres",Zakaznik!K17,"")</f>
        <v/>
      </c>
      <c r="R7" s="367"/>
      <c r="S7" s="367"/>
      <c r="T7" s="367"/>
      <c r="U7" s="367"/>
      <c r="V7" s="46"/>
      <c r="W7" s="46"/>
      <c r="X7" s="65"/>
      <c r="Y7" s="65"/>
      <c r="Z7" s="65"/>
      <c r="AA7" s="65"/>
      <c r="AB7" s="65"/>
      <c r="AC7" s="65"/>
      <c r="AD7" s="65"/>
      <c r="AE7" s="65"/>
      <c r="AF7" s="46"/>
      <c r="AG7" s="46"/>
      <c r="AH7" s="46"/>
      <c r="AI7" s="46"/>
      <c r="AJ7" s="46"/>
      <c r="AL7" s="180"/>
      <c r="AM7" s="180"/>
      <c r="AN7" s="180"/>
      <c r="AO7" s="180"/>
      <c r="CK7" t="s">
        <v>2650</v>
      </c>
      <c r="CL7" t="s">
        <v>2650</v>
      </c>
    </row>
    <row r="8" spans="1:90" ht="13.35" customHeight="1" thickBot="1">
      <c r="B8" s="66"/>
      <c r="C8" s="66"/>
      <c r="D8" s="895" t="str">
        <f>IF(Zakaznik!$K$23="Dostawa na adres",Zakaznik!K27,"")</f>
        <v/>
      </c>
      <c r="E8" s="895"/>
      <c r="F8" s="895"/>
      <c r="G8" s="895"/>
      <c r="H8" s="895"/>
      <c r="I8" s="895"/>
      <c r="J8" s="895"/>
      <c r="K8" s="895"/>
      <c r="L8" s="65"/>
      <c r="M8" s="65"/>
      <c r="N8" s="65"/>
      <c r="O8" s="65"/>
      <c r="P8" s="65"/>
      <c r="Q8" s="65"/>
      <c r="R8" s="65"/>
      <c r="S8" s="65"/>
      <c r="T8" s="65"/>
      <c r="U8" s="65"/>
      <c r="CK8" t="s">
        <v>1172</v>
      </c>
      <c r="CL8" t="s">
        <v>2676</v>
      </c>
    </row>
    <row r="9" spans="1:90" ht="35.1" customHeight="1" thickBot="1">
      <c r="J9" s="178"/>
      <c r="K9" s="178"/>
      <c r="L9" s="178"/>
      <c r="M9" s="178"/>
      <c r="N9" s="178"/>
      <c r="O9" s="178"/>
      <c r="P9" s="178"/>
      <c r="Q9" s="178"/>
      <c r="R9" s="178"/>
      <c r="S9" s="178"/>
      <c r="T9" s="178"/>
      <c r="U9" s="178"/>
      <c r="V9" s="178"/>
      <c r="W9" s="869" t="str">
        <f>'Translate&amp;Prices&amp;Logo'!$O$256</f>
        <v>Numer zamówienia</v>
      </c>
      <c r="X9" s="869"/>
      <c r="Y9" s="869"/>
      <c r="Z9" s="869"/>
      <c r="AA9" s="869"/>
      <c r="AB9" s="113"/>
      <c r="AC9" s="866"/>
      <c r="AD9" s="867"/>
      <c r="AE9" s="867"/>
      <c r="AF9" s="867"/>
      <c r="AG9" s="867"/>
      <c r="AH9" s="867"/>
      <c r="AI9" s="867"/>
      <c r="AJ9" s="867"/>
      <c r="AK9" s="867"/>
      <c r="AL9" s="867"/>
      <c r="AM9" s="867"/>
      <c r="AN9" s="867"/>
      <c r="AO9" s="868"/>
      <c r="AR9" s="880" t="s">
        <v>1727</v>
      </c>
      <c r="CK9" t="s">
        <v>1180</v>
      </c>
      <c r="CL9" t="s">
        <v>2679</v>
      </c>
    </row>
    <row r="10" spans="1:90" ht="16.350000000000001" customHeight="1">
      <c r="W10" s="865" t="str">
        <f>'Translate&amp;Prices&amp;Logo'!$O$542</f>
        <v>Połączenie 2 profili</v>
      </c>
      <c r="X10" s="865"/>
      <c r="Y10" s="865"/>
      <c r="Z10" s="865"/>
      <c r="AA10" s="865"/>
      <c r="AB10" s="113"/>
      <c r="AC10" s="879" t="str">
        <f>IF(kombinace_1!$H$1=TRUE,"Tak","Nie")</f>
        <v>Nie</v>
      </c>
      <c r="AD10" s="879"/>
      <c r="AE10" s="879"/>
      <c r="AF10" s="879"/>
      <c r="AG10" s="879"/>
      <c r="AH10" s="879"/>
      <c r="AI10" s="879"/>
      <c r="AJ10" s="879"/>
      <c r="AK10" s="879"/>
      <c r="AL10" s="879"/>
      <c r="AM10" s="879"/>
      <c r="AN10" s="879"/>
      <c r="AO10" s="879"/>
      <c r="AR10" s="880"/>
      <c r="CK10" t="s">
        <v>1186</v>
      </c>
      <c r="CL10" t="s">
        <v>1186</v>
      </c>
    </row>
    <row r="11" spans="1:90" ht="16.350000000000001" customHeight="1">
      <c r="W11" s="865" t="str">
        <f>'Translate&amp;Prices&amp;Logo'!$O$172</f>
        <v>Rodzaj profilu</v>
      </c>
      <c r="X11" s="865"/>
      <c r="Y11" s="865"/>
      <c r="Z11" s="865"/>
      <c r="AA11" s="865"/>
      <c r="AB11" s="113"/>
      <c r="AC11" s="864">
        <f>IFERROR(VLOOKUP(Ram_1!$H$8,'Translate&amp;Prices&amp;Logo'!$AA$1:$AB$282,2,0),Ram_1!$H$8)</f>
        <v>0</v>
      </c>
      <c r="AD11" s="864"/>
      <c r="AE11" s="864"/>
      <c r="AF11" s="864"/>
      <c r="AG11" s="864"/>
      <c r="AH11" s="864"/>
      <c r="AI11" s="864"/>
      <c r="AJ11" s="864"/>
      <c r="AK11" s="864"/>
      <c r="AL11" s="864"/>
      <c r="AM11" s="864"/>
      <c r="AN11" s="864"/>
      <c r="AO11" s="864"/>
      <c r="AR11" s="880"/>
      <c r="CK11" t="s">
        <v>1452</v>
      </c>
      <c r="CL11" t="s">
        <v>3217</v>
      </c>
    </row>
    <row r="12" spans="1:90" ht="16.350000000000001" customHeight="1">
      <c r="W12" s="865" t="str">
        <f>'Translate&amp;Prices&amp;Logo'!$O$543</f>
        <v>Szprosy</v>
      </c>
      <c r="X12" s="865"/>
      <c r="Y12" s="865"/>
      <c r="Z12" s="865"/>
      <c r="AA12" s="865"/>
      <c r="AB12" s="113"/>
      <c r="AC12" s="864" t="str" cm="1">
        <f t="array" ref="AC12">IFERROR(VLOOKUP(Ram_1!$AU$10,AU12:AV15,2,0),Nie)</f>
        <v>Nie</v>
      </c>
      <c r="AD12" s="864"/>
      <c r="AE12" s="864"/>
      <c r="AF12" s="864"/>
      <c r="AG12" s="864"/>
      <c r="AH12" s="864"/>
      <c r="AI12" s="864"/>
      <c r="AJ12" s="864"/>
      <c r="AK12" s="864"/>
      <c r="AL12" s="864"/>
      <c r="AM12" s="864"/>
      <c r="AN12" s="864"/>
      <c r="AO12" s="864"/>
      <c r="AR12" s="880"/>
      <c r="AU12">
        <v>0</v>
      </c>
      <c r="AV12" t="str">
        <f>'Translate&amp;Prices&amp;Logo'!$O$557</f>
        <v>Nie</v>
      </c>
      <c r="AZ12">
        <v>2</v>
      </c>
      <c r="BA12" t="str">
        <f>'Translate&amp;Prices&amp;Logo'!$O$551</f>
        <v>Zawiasy</v>
      </c>
      <c r="BD12" s="1" t="s">
        <v>69</v>
      </c>
      <c r="BE12" s="1" t="s">
        <v>222</v>
      </c>
      <c r="BI12" s="1" t="s">
        <v>52</v>
      </c>
      <c r="BJ12" s="1" t="s">
        <v>216</v>
      </c>
      <c r="BM12" s="1" t="s">
        <v>107</v>
      </c>
      <c r="BN12" s="1" t="s">
        <v>253</v>
      </c>
      <c r="BX12" s="1">
        <v>1</v>
      </c>
      <c r="BY12" s="1" t="str">
        <f>'Translate&amp;Prices&amp;Logo'!$O$100</f>
        <v>Bez modyfikacji</v>
      </c>
      <c r="CA12" t="s">
        <v>1039</v>
      </c>
      <c r="CB12" t="s">
        <v>1439</v>
      </c>
      <c r="CK12" t="s">
        <v>1457</v>
      </c>
      <c r="CL12" t="s">
        <v>3218</v>
      </c>
    </row>
    <row r="13" spans="1:90" ht="16.350000000000001" customHeight="1">
      <c r="W13" s="183"/>
      <c r="X13" s="183"/>
      <c r="Y13" s="183"/>
      <c r="Z13" s="183"/>
      <c r="AA13" s="183"/>
      <c r="AB13" s="113"/>
      <c r="AC13" s="881" t="str">
        <f>IF(OR(Ram_1!$AU$10=1,Ram_1!$AU$10=3),'Translate&amp;Prices&amp;Logo'!O558,"")</f>
        <v/>
      </c>
      <c r="AD13" s="881"/>
      <c r="AE13" s="881"/>
      <c r="AF13" s="881"/>
      <c r="AG13" s="881"/>
      <c r="AH13" s="881"/>
      <c r="AI13" s="881"/>
      <c r="AJ13" s="881" t="str">
        <f>IF(OR(Ram_1!$AU$10=2,Ram_1!$AU$10=3),'Translate&amp;Prices&amp;Logo'!O559,"")</f>
        <v/>
      </c>
      <c r="AK13" s="881"/>
      <c r="AL13" s="881"/>
      <c r="AM13" s="881"/>
      <c r="AN13" s="881"/>
      <c r="AO13" s="881"/>
      <c r="AR13" s="880"/>
      <c r="AU13">
        <v>1</v>
      </c>
      <c r="AV13" t="str">
        <f>'Translate&amp;Prices&amp;Logo'!$O$558</f>
        <v>Poziomo (termin dostawy 4 tygodnie)</v>
      </c>
      <c r="AZ13">
        <v>3</v>
      </c>
      <c r="BA13" t="str">
        <f>'Translate&amp;Prices&amp;Logo'!$O$552</f>
        <v>Podnośniki</v>
      </c>
      <c r="BD13" s="1" t="s">
        <v>70</v>
      </c>
      <c r="BE13" s="1" t="s">
        <v>223</v>
      </c>
      <c r="BI13" s="1" t="s">
        <v>51</v>
      </c>
      <c r="BJ13" s="1" t="s">
        <v>217</v>
      </c>
      <c r="BM13" s="1" t="s">
        <v>108</v>
      </c>
      <c r="BN13" s="1" t="s">
        <v>254</v>
      </c>
      <c r="BX13" s="1">
        <v>2</v>
      </c>
      <c r="BY13" s="1" t="str">
        <f>'Translate&amp;Prices&amp;Logo'!$O$101</f>
        <v>Hartowane</v>
      </c>
      <c r="CA13" t="s">
        <v>1042</v>
      </c>
      <c r="CB13" t="s">
        <v>1440</v>
      </c>
      <c r="CK13" t="s">
        <v>1173</v>
      </c>
      <c r="CL13" t="s">
        <v>3116</v>
      </c>
    </row>
    <row r="14" spans="1:90" ht="16.350000000000001" customHeight="1">
      <c r="W14" s="865" t="str">
        <f>('Translate&amp;Prices&amp;Logo'!$O$543)&amp;" "&amp;"("&amp;'Translate&amp;Prices&amp;Logo'!$O$174&amp;")"</f>
        <v>Szprosy (Ilość sztuk)</v>
      </c>
      <c r="X14" s="865"/>
      <c r="Y14" s="865"/>
      <c r="Z14" s="865"/>
      <c r="AA14" s="865"/>
      <c r="AB14" s="113"/>
      <c r="AC14" s="864">
        <f>Ram_1!$H$11</f>
        <v>0</v>
      </c>
      <c r="AD14" s="864"/>
      <c r="AE14" s="864"/>
      <c r="AF14" s="864"/>
      <c r="AG14" s="864"/>
      <c r="AH14" s="864"/>
      <c r="AI14" s="864"/>
      <c r="AJ14" s="864">
        <f>Ram_1!$M$11</f>
        <v>0</v>
      </c>
      <c r="AK14" s="864"/>
      <c r="AL14" s="864"/>
      <c r="AM14" s="864"/>
      <c r="AN14" s="864"/>
      <c r="AO14" s="864"/>
      <c r="AR14" s="880"/>
      <c r="AU14">
        <v>2</v>
      </c>
      <c r="AV14" t="str">
        <f>'Translate&amp;Prices&amp;Logo'!$O$559</f>
        <v>Pionowo (termin dostawy 4 tygodnie)</v>
      </c>
      <c r="BD14" s="1" t="s">
        <v>71</v>
      </c>
      <c r="BE14" s="1" t="s">
        <v>1254</v>
      </c>
      <c r="BI14" s="1" t="s">
        <v>160</v>
      </c>
      <c r="BJ14" s="1" t="s">
        <v>216</v>
      </c>
      <c r="BM14" s="1" t="s">
        <v>110</v>
      </c>
      <c r="BN14" s="1" t="s">
        <v>255</v>
      </c>
      <c r="BX14" s="1">
        <v>3</v>
      </c>
      <c r="BY14" s="1" t="str">
        <f>'Translate&amp;Prices&amp;Logo'!$O$102</f>
        <v>Folia</v>
      </c>
      <c r="CA14" t="s">
        <v>1045</v>
      </c>
      <c r="CB14" t="s">
        <v>1441</v>
      </c>
      <c r="CK14" t="s">
        <v>1181</v>
      </c>
      <c r="CL14" t="s">
        <v>3117</v>
      </c>
    </row>
    <row r="15" spans="1:90" ht="16.350000000000001" customHeight="1">
      <c r="W15" s="865" t="str">
        <f>'Translate&amp;Prices&amp;Logo'!$O$258</f>
        <v>Typ okucia</v>
      </c>
      <c r="X15" s="865"/>
      <c r="Y15" s="865"/>
      <c r="Z15" s="865"/>
      <c r="AA15" s="865"/>
      <c r="AB15" s="113"/>
      <c r="AC15" s="864" t="str">
        <f>IFERROR(VLOOKUP(Ram_1!$AU$9,AZ12:BA13,2,0),Ram_1!$AU$9)</f>
        <v/>
      </c>
      <c r="AD15" s="864"/>
      <c r="AE15" s="864"/>
      <c r="AF15" s="864"/>
      <c r="AG15" s="864"/>
      <c r="AH15" s="864"/>
      <c r="AI15" s="864"/>
      <c r="AJ15" s="864"/>
      <c r="AK15" s="864"/>
      <c r="AL15" s="864"/>
      <c r="AM15" s="864"/>
      <c r="AN15" s="864"/>
      <c r="AO15" s="864"/>
      <c r="AR15" s="880"/>
      <c r="AU15">
        <v>3</v>
      </c>
      <c r="AV15" t="str">
        <f>'Translate&amp;Prices&amp;Logo'!$O$560</f>
        <v>Poziomo i pionowo (termin dostawy 4 tygodnie)</v>
      </c>
      <c r="BD15" s="1" t="s">
        <v>69</v>
      </c>
      <c r="BE15" s="1" t="s">
        <v>222</v>
      </c>
      <c r="BI15" s="1" t="s">
        <v>161</v>
      </c>
      <c r="BJ15" s="1" t="s">
        <v>217</v>
      </c>
      <c r="BM15" s="1" t="s">
        <v>109</v>
      </c>
      <c r="BN15" s="1" t="s">
        <v>256</v>
      </c>
      <c r="CA15" t="s">
        <v>1328</v>
      </c>
      <c r="CB15" t="s">
        <v>1439</v>
      </c>
      <c r="CK15" t="s">
        <v>1174</v>
      </c>
      <c r="CL15" t="s">
        <v>3421</v>
      </c>
    </row>
    <row r="16" spans="1:90" ht="16.350000000000001" customHeight="1">
      <c r="W16" s="865" t="str">
        <f>'Translate&amp;Prices&amp;Logo'!$O$544</f>
        <v>Marka okucia</v>
      </c>
      <c r="X16" s="865"/>
      <c r="Y16" s="865"/>
      <c r="Z16" s="865"/>
      <c r="AA16" s="865"/>
      <c r="AB16" s="113"/>
      <c r="AC16" s="864">
        <f>Ram_1!$H$13</f>
        <v>0</v>
      </c>
      <c r="AD16" s="864"/>
      <c r="AE16" s="864"/>
      <c r="AF16" s="864"/>
      <c r="AG16" s="864"/>
      <c r="AH16" s="864"/>
      <c r="AI16" s="864"/>
      <c r="AJ16" s="864"/>
      <c r="AK16" s="864"/>
      <c r="AL16" s="864"/>
      <c r="AM16" s="864"/>
      <c r="AN16" s="864"/>
      <c r="AO16" s="864"/>
      <c r="AR16" s="880"/>
      <c r="BD16" s="1" t="s">
        <v>70</v>
      </c>
      <c r="BE16" s="1" t="s">
        <v>223</v>
      </c>
      <c r="BI16" s="1" t="s">
        <v>410</v>
      </c>
      <c r="BJ16" s="1" t="s">
        <v>216</v>
      </c>
      <c r="BM16" s="1" t="s">
        <v>111</v>
      </c>
      <c r="BN16" s="1" t="s">
        <v>1425</v>
      </c>
      <c r="CA16" t="s">
        <v>1329</v>
      </c>
      <c r="CB16" t="s">
        <v>1440</v>
      </c>
      <c r="CK16" t="s">
        <v>1153</v>
      </c>
      <c r="CL16" t="s">
        <v>3422</v>
      </c>
    </row>
    <row r="17" spans="19:90" ht="16.350000000000001" customHeight="1" thickBot="1">
      <c r="W17" s="865" t="str">
        <f>'Translate&amp;Prices&amp;Logo'!$O$546</f>
        <v>Nałożenie</v>
      </c>
      <c r="X17" s="865"/>
      <c r="Y17" s="865"/>
      <c r="Z17" s="865"/>
      <c r="AA17" s="865"/>
      <c r="AB17" s="113"/>
      <c r="AC17" s="864">
        <f>IFERROR(VLOOKUP(Ram_1!$H$14,$BD$12:$BE$29,2,0),0)</f>
        <v>0</v>
      </c>
      <c r="AD17" s="864"/>
      <c r="AE17" s="864"/>
      <c r="AF17" s="864"/>
      <c r="AG17" s="864"/>
      <c r="AH17" s="864"/>
      <c r="AI17" s="864"/>
      <c r="AJ17" s="864"/>
      <c r="AK17" s="864"/>
      <c r="AL17" s="864"/>
      <c r="AM17" s="864"/>
      <c r="AN17" s="864"/>
      <c r="AO17" s="864"/>
      <c r="AR17" s="880"/>
      <c r="BD17" s="1" t="s">
        <v>71</v>
      </c>
      <c r="BE17" s="1" t="s">
        <v>1254</v>
      </c>
      <c r="BI17" s="1" t="s">
        <v>283</v>
      </c>
      <c r="BJ17" s="1" t="s">
        <v>217</v>
      </c>
      <c r="BM17" s="1" t="s">
        <v>193</v>
      </c>
      <c r="BN17" s="1" t="s">
        <v>253</v>
      </c>
      <c r="CA17" t="s">
        <v>1330</v>
      </c>
      <c r="CB17" t="s">
        <v>1441</v>
      </c>
      <c r="CK17" t="s">
        <v>1163</v>
      </c>
      <c r="CL17" t="s">
        <v>1163</v>
      </c>
    </row>
    <row r="18" spans="19:90" ht="16.350000000000001" customHeight="1">
      <c r="S18" s="875">
        <f>Ram_1!AR14</f>
        <v>0</v>
      </c>
      <c r="W18" s="865" t="str">
        <f>'Translate&amp;Prices&amp;Logo'!$O$545</f>
        <v>Wariant okucia</v>
      </c>
      <c r="X18" s="865"/>
      <c r="Y18" s="865"/>
      <c r="Z18" s="865"/>
      <c r="AA18" s="865"/>
      <c r="AB18" s="113"/>
      <c r="AC18" s="891">
        <f>IFERROR(VLOOKUP(Ram_1!$H$15,kombinace_1!$ED$2:$EE$760,2,0),Ram_1!$H$15)</f>
        <v>0</v>
      </c>
      <c r="AD18" s="891"/>
      <c r="AE18" s="891"/>
      <c r="AF18" s="891"/>
      <c r="AG18" s="891"/>
      <c r="AH18" s="891"/>
      <c r="AI18" s="891"/>
      <c r="AJ18" s="864" t="str">
        <f>IF(AC18='Translate&amp;Prices&amp;Logo'!C698,VLOOKUP(Ram_1!H17,'Translate&amp;Prices&amp;Logo'!C699:D746,2,0),"")</f>
        <v/>
      </c>
      <c r="AK18" s="864"/>
      <c r="AL18" s="864"/>
      <c r="AM18" s="864"/>
      <c r="AN18" s="864"/>
      <c r="AO18" s="864"/>
      <c r="AR18" s="880"/>
      <c r="BD18" s="1" t="s">
        <v>222</v>
      </c>
      <c r="BE18" s="1" t="s">
        <v>222</v>
      </c>
      <c r="BI18" s="1" t="s">
        <v>1468</v>
      </c>
      <c r="BJ18" s="1" t="s">
        <v>216</v>
      </c>
      <c r="BM18" s="1" t="s">
        <v>194</v>
      </c>
      <c r="BN18" s="1" t="s">
        <v>254</v>
      </c>
      <c r="CA18" t="s">
        <v>1439</v>
      </c>
      <c r="CB18" t="s">
        <v>1439</v>
      </c>
      <c r="CK18" t="s">
        <v>1182</v>
      </c>
      <c r="CL18" t="s">
        <v>3420</v>
      </c>
    </row>
    <row r="19" spans="19:90" ht="16.350000000000001" customHeight="1">
      <c r="S19" s="876">
        <f>Ram_1!AR15</f>
        <v>0</v>
      </c>
      <c r="W19" s="865" t="str">
        <f>'Translate&amp;Prices&amp;Logo'!$O$218</f>
        <v>Wybierz pozycję ramki</v>
      </c>
      <c r="X19" s="865"/>
      <c r="Y19" s="865"/>
      <c r="Z19" s="865"/>
      <c r="AA19" s="865"/>
      <c r="AB19" s="864">
        <f>IFERROR(VLOOKUP(Ram_1!$F$16,BI12:BJ23,2,0),0)</f>
        <v>0</v>
      </c>
      <c r="AC19" s="864"/>
      <c r="AD19" s="864"/>
      <c r="AE19" s="864"/>
      <c r="AF19" s="864"/>
      <c r="AG19" s="892" t="str">
        <f>'Translate&amp;Prices&amp;Logo'!$O$232</f>
        <v>Rodzaj drugiej ramki</v>
      </c>
      <c r="AH19" s="892"/>
      <c r="AI19" s="892"/>
      <c r="AJ19" s="864">
        <f>IFERROR(VLOOKUP(Ram_1!$N$16,BM12:BN41,2,0),0)</f>
        <v>0</v>
      </c>
      <c r="AK19" s="864"/>
      <c r="AL19" s="864"/>
      <c r="AM19" s="864"/>
      <c r="AN19" s="864"/>
      <c r="AO19" s="864"/>
      <c r="AR19" s="880"/>
      <c r="BD19" s="1" t="s">
        <v>223</v>
      </c>
      <c r="BE19" s="1" t="s">
        <v>223</v>
      </c>
      <c r="BI19" s="1" t="s">
        <v>1469</v>
      </c>
      <c r="BJ19" s="1" t="s">
        <v>217</v>
      </c>
      <c r="BM19" s="1" t="s">
        <v>195</v>
      </c>
      <c r="BN19" s="1" t="s">
        <v>255</v>
      </c>
      <c r="CA19" t="s">
        <v>1440</v>
      </c>
      <c r="CB19" t="s">
        <v>1440</v>
      </c>
      <c r="CK19" t="s">
        <v>1177</v>
      </c>
      <c r="CL19" t="s">
        <v>2678</v>
      </c>
    </row>
    <row r="20" spans="19:90" ht="16.350000000000001" customHeight="1">
      <c r="S20" s="876">
        <f>Ram_1!AR16</f>
        <v>0</v>
      </c>
      <c r="W20" s="865" t="str">
        <f>IF(AC15='Translate&amp;Prices&amp;Logo'!O551,'Translate&amp;Prices&amp;Logo'!O238,'Translate&amp;Prices&amp;Logo'!$O$226)</f>
        <v>Umieszczenie</v>
      </c>
      <c r="X20" s="865"/>
      <c r="Y20" s="865"/>
      <c r="Z20" s="865"/>
      <c r="AA20" s="865"/>
      <c r="AB20" s="113"/>
      <c r="AC20" s="893" t="str">
        <f>IFERROR((IF(Ram_1!H12='Translate&amp;Prices&amp;Logo'!B552,VLOOKUP(Ram_1!$N$16,BM42:BN71,2,0),VLOOKUP(Ram_1!$H$17,BM42:BN65,2,0))),"")</f>
        <v/>
      </c>
      <c r="AD20" s="893"/>
      <c r="AE20" s="893"/>
      <c r="AF20" s="893"/>
      <c r="AG20" s="893"/>
      <c r="AH20" s="893"/>
      <c r="AI20" s="893"/>
      <c r="AJ20" s="893"/>
      <c r="AK20" s="893"/>
      <c r="AL20" s="893"/>
      <c r="AM20" s="893"/>
      <c r="AN20" s="893"/>
      <c r="AO20" s="893"/>
      <c r="AR20" s="880"/>
      <c r="BD20" s="1" t="s">
        <v>1254</v>
      </c>
      <c r="BE20" s="1" t="s">
        <v>1254</v>
      </c>
      <c r="BI20" s="1" t="s">
        <v>216</v>
      </c>
      <c r="BJ20" s="1" t="s">
        <v>216</v>
      </c>
      <c r="BM20" s="1" t="s">
        <v>196</v>
      </c>
      <c r="BN20" s="1" t="s">
        <v>256</v>
      </c>
      <c r="CA20" t="s">
        <v>1441</v>
      </c>
      <c r="CB20" t="s">
        <v>1441</v>
      </c>
      <c r="CK20" t="s">
        <v>1156</v>
      </c>
      <c r="CL20" t="s">
        <v>1156</v>
      </c>
    </row>
    <row r="21" spans="19:90" ht="16.350000000000001" customHeight="1">
      <c r="S21" s="876">
        <f>Ram_1!AR17</f>
        <v>0</v>
      </c>
      <c r="W21" s="865" t="str">
        <f>'Translate&amp;Prices&amp;Logo'!$O$547</f>
        <v>Zawiasy do podnośników</v>
      </c>
      <c r="X21" s="865"/>
      <c r="Y21" s="865"/>
      <c r="Z21" s="865"/>
      <c r="AA21" s="865"/>
      <c r="AB21" s="113"/>
      <c r="AC21" s="864">
        <f>IFERROR((VLOOKUP(Ram_1!$H$18,$CK$2:$CL$90,2,0)),Ram_1!$H$18)</f>
        <v>0</v>
      </c>
      <c r="AD21" s="864"/>
      <c r="AE21" s="864"/>
      <c r="AF21" s="864"/>
      <c r="AG21" s="864"/>
      <c r="AH21" s="864"/>
      <c r="AI21" s="864"/>
      <c r="AJ21" s="864"/>
      <c r="AK21" s="864"/>
      <c r="AL21" s="864"/>
      <c r="AM21" s="864"/>
      <c r="AN21" s="864"/>
      <c r="AO21" s="864"/>
      <c r="AR21" s="880"/>
      <c r="AV21" s="1">
        <f>Ram_1!$H$18</f>
        <v>0</v>
      </c>
      <c r="BD21" s="1" t="s">
        <v>286</v>
      </c>
      <c r="BE21" s="1" t="s">
        <v>222</v>
      </c>
      <c r="BI21" s="1" t="s">
        <v>217</v>
      </c>
      <c r="BJ21" s="1" t="s">
        <v>217</v>
      </c>
      <c r="BM21" s="1" t="s">
        <v>197</v>
      </c>
      <c r="BN21" s="1" t="s">
        <v>1425</v>
      </c>
      <c r="CA21" t="s">
        <v>1331</v>
      </c>
      <c r="CB21" t="s">
        <v>1439</v>
      </c>
      <c r="CK21" t="s">
        <v>1183</v>
      </c>
      <c r="CL21" t="s">
        <v>3423</v>
      </c>
    </row>
    <row r="22" spans="19:90" ht="16.350000000000001" customHeight="1">
      <c r="S22" s="876">
        <f>Ram_1!AR18</f>
        <v>0</v>
      </c>
      <c r="W22" s="865" t="str">
        <f>'Translate&amp;Prices&amp;Logo'!$O$223</f>
        <v>Ilość zawiasów na 1 ramkę</v>
      </c>
      <c r="X22" s="865"/>
      <c r="Y22" s="865"/>
      <c r="Z22" s="865"/>
      <c r="AA22" s="865"/>
      <c r="AB22" s="113"/>
      <c r="AC22" s="864">
        <f>Ram_1!$H$19</f>
        <v>0</v>
      </c>
      <c r="AD22" s="864"/>
      <c r="AE22" s="864"/>
      <c r="AF22" s="864"/>
      <c r="AG22" s="864"/>
      <c r="AH22" s="864"/>
      <c r="AI22" s="864"/>
      <c r="AJ22" s="864"/>
      <c r="AK22" s="864"/>
      <c r="AL22" s="864"/>
      <c r="AM22" s="864"/>
      <c r="AN22" s="864"/>
      <c r="AO22" s="864"/>
      <c r="AR22" s="880"/>
      <c r="BD22" s="1" t="s">
        <v>287</v>
      </c>
      <c r="BE22" s="1" t="s">
        <v>223</v>
      </c>
      <c r="BI22" s="390" t="s">
        <v>4021</v>
      </c>
      <c r="BJ22" s="1" t="s">
        <v>216</v>
      </c>
      <c r="BM22" s="1" t="s">
        <v>253</v>
      </c>
      <c r="BN22" s="1" t="s">
        <v>253</v>
      </c>
      <c r="CA22" t="s">
        <v>1414</v>
      </c>
      <c r="CB22" t="s">
        <v>1440</v>
      </c>
      <c r="CK22" t="s">
        <v>1184</v>
      </c>
      <c r="CL22" t="s">
        <v>2681</v>
      </c>
    </row>
    <row r="23" spans="19:90" ht="16.350000000000001" customHeight="1">
      <c r="S23" s="877" t="str">
        <f>'Translate&amp;Prices&amp;Logo'!$O$176</f>
        <v>Wysokość</v>
      </c>
      <c r="W23" s="865" t="str">
        <f>IFERROR(('Translate&amp;Prices&amp;Logo'!$O$242&amp;" "&amp;VLOOKUP(Ram_1!H17,kombinace_1!BY32:CD35,5,0)),"")</f>
        <v/>
      </c>
      <c r="X23" s="865"/>
      <c r="Y23" s="865"/>
      <c r="Z23" s="865"/>
      <c r="AA23" s="865"/>
      <c r="AB23" s="864">
        <f>Ram_1!$F$20</f>
        <v>100</v>
      </c>
      <c r="AC23" s="864"/>
      <c r="AD23" s="864"/>
      <c r="AE23" s="864"/>
      <c r="AF23" s="864"/>
      <c r="AG23" s="865" t="str">
        <f>IFERROR(('Translate&amp;Prices&amp;Logo'!$O$242&amp;" "&amp;VLOOKUP(Ram_1!H17,kombinace_1!$BY$32:$CD$35,6,0)),"")</f>
        <v/>
      </c>
      <c r="AH23" s="865"/>
      <c r="AI23" s="865"/>
      <c r="AJ23" s="865"/>
      <c r="AK23" s="865"/>
      <c r="AL23" s="864">
        <f>Ram_1!$N$20</f>
        <v>100</v>
      </c>
      <c r="AM23" s="864"/>
      <c r="AN23" s="864"/>
      <c r="AO23" s="864"/>
      <c r="AR23" s="880"/>
      <c r="BD23" s="1" t="s">
        <v>288</v>
      </c>
      <c r="BE23" s="1" t="s">
        <v>1254</v>
      </c>
      <c r="BI23" s="390" t="s">
        <v>4022</v>
      </c>
      <c r="BJ23" s="1" t="s">
        <v>217</v>
      </c>
      <c r="BM23" s="1" t="s">
        <v>254</v>
      </c>
      <c r="BN23" s="1" t="s">
        <v>254</v>
      </c>
      <c r="CA23" t="s">
        <v>1332</v>
      </c>
      <c r="CB23" t="s">
        <v>1441</v>
      </c>
      <c r="CK23" t="s">
        <v>1455</v>
      </c>
      <c r="CL23" t="s">
        <v>3220</v>
      </c>
    </row>
    <row r="24" spans="19:90" ht="16.350000000000001" customHeight="1">
      <c r="S24" s="877">
        <f>Ram_1!AR20</f>
        <v>0</v>
      </c>
      <c r="W24" s="865" t="str">
        <f>'Translate&amp;Prices&amp;Logo'!$O$653</f>
        <v>Wypełnienie z siatki</v>
      </c>
      <c r="X24" s="865"/>
      <c r="Y24" s="865"/>
      <c r="Z24" s="865"/>
      <c r="AA24" s="865"/>
      <c r="AB24" s="113"/>
      <c r="AC24" s="863" t="str">
        <f>IF(kombinace_1!FC2=TRUE,"Tak","Nie")</f>
        <v>Nie</v>
      </c>
      <c r="AD24" s="863"/>
      <c r="AE24" s="863"/>
      <c r="AF24" s="863"/>
      <c r="AG24" s="863"/>
      <c r="AH24" s="863"/>
      <c r="AI24" s="863"/>
      <c r="AJ24" s="863"/>
      <c r="AK24" s="863"/>
      <c r="AL24" s="863"/>
      <c r="AM24" s="863"/>
      <c r="AN24" s="863"/>
      <c r="AO24" s="863"/>
      <c r="AR24" s="880"/>
      <c r="BD24" s="1" t="s">
        <v>1716</v>
      </c>
      <c r="BE24" s="1" t="s">
        <v>222</v>
      </c>
      <c r="BM24" s="1" t="s">
        <v>255</v>
      </c>
      <c r="BN24" s="1" t="s">
        <v>255</v>
      </c>
      <c r="CA24" t="s">
        <v>1520</v>
      </c>
      <c r="CB24" t="s">
        <v>1439</v>
      </c>
      <c r="CK24" t="s">
        <v>1165</v>
      </c>
      <c r="CL24" t="s">
        <v>1165</v>
      </c>
    </row>
    <row r="25" spans="19:90" ht="16.350000000000001" customHeight="1">
      <c r="S25" s="877">
        <f>Ram_1!AR21</f>
        <v>0</v>
      </c>
      <c r="W25" s="865" t="str">
        <f>'Translate&amp;Prices&amp;Logo'!$O$173</f>
        <v>Rodzaj szkła</v>
      </c>
      <c r="X25" s="865"/>
      <c r="Y25" s="865"/>
      <c r="Z25" s="865"/>
      <c r="AA25" s="865"/>
      <c r="AB25" s="113"/>
      <c r="AC25" s="864" t="str">
        <f>IFERROR(VLOOKUP(kombinace_1!$V$1,BX12:BY14,2,0),0)</f>
        <v>Bez modyfikacji</v>
      </c>
      <c r="AD25" s="864"/>
      <c r="AE25" s="864"/>
      <c r="AF25" s="864"/>
      <c r="AG25" s="864"/>
      <c r="AH25" s="864"/>
      <c r="AI25" s="864"/>
      <c r="AJ25" s="864"/>
      <c r="AK25" s="864"/>
      <c r="AL25" s="864"/>
      <c r="AM25" s="864"/>
      <c r="AN25" s="864"/>
      <c r="AO25" s="864"/>
      <c r="AR25" s="880"/>
      <c r="BD25" s="1" t="s">
        <v>1573</v>
      </c>
      <c r="BE25" s="1" t="s">
        <v>223</v>
      </c>
      <c r="BM25" s="1" t="s">
        <v>256</v>
      </c>
      <c r="BN25" s="1" t="s">
        <v>256</v>
      </c>
      <c r="CA25" t="s">
        <v>1521</v>
      </c>
      <c r="CB25" t="s">
        <v>1440</v>
      </c>
      <c r="CK25" t="s">
        <v>1178</v>
      </c>
      <c r="CL25" t="s">
        <v>3119</v>
      </c>
    </row>
    <row r="26" spans="19:90" ht="16.350000000000001" customHeight="1">
      <c r="S26" s="877">
        <f>Ram_1!AR22</f>
        <v>0</v>
      </c>
      <c r="W26" s="865" t="str">
        <f>'Translate&amp;Prices&amp;Logo'!$O$562</f>
        <v>Rodzaj folii</v>
      </c>
      <c r="X26" s="865"/>
      <c r="Y26" s="865"/>
      <c r="Z26" s="865"/>
      <c r="AA26" s="865"/>
      <c r="AB26" s="113"/>
      <c r="AC26" s="864">
        <f>IFERROR(VLOOKUP(Ram_1!$H$24,CA12:CB29,2,0),0)</f>
        <v>0</v>
      </c>
      <c r="AD26" s="864"/>
      <c r="AE26" s="864"/>
      <c r="AF26" s="864"/>
      <c r="AG26" s="864"/>
      <c r="AH26" s="864"/>
      <c r="AI26" s="864"/>
      <c r="AJ26" s="864"/>
      <c r="AK26" s="864"/>
      <c r="AL26" s="864"/>
      <c r="AM26" s="864"/>
      <c r="AN26" s="864"/>
      <c r="AO26" s="864"/>
      <c r="AR26" s="880"/>
      <c r="BD26" s="1" t="s">
        <v>991</v>
      </c>
      <c r="BE26" s="1" t="s">
        <v>1254</v>
      </c>
      <c r="BM26" s="1" t="s">
        <v>1425</v>
      </c>
      <c r="BN26" s="1" t="s">
        <v>1425</v>
      </c>
      <c r="CA26" t="s">
        <v>1522</v>
      </c>
      <c r="CB26" t="s">
        <v>1441</v>
      </c>
      <c r="CK26" t="s">
        <v>1456</v>
      </c>
      <c r="CL26" t="s">
        <v>3221</v>
      </c>
    </row>
    <row r="27" spans="19:90" ht="16.350000000000001" customHeight="1" thickBot="1">
      <c r="S27" s="878">
        <f>Ram_1!AR23</f>
        <v>0</v>
      </c>
      <c r="W27" s="865" t="str">
        <f>'Translate&amp;Prices&amp;Logo'!$O$173</f>
        <v>Rodzaj szkła</v>
      </c>
      <c r="X27" s="865"/>
      <c r="Y27" s="865"/>
      <c r="Z27" s="865"/>
      <c r="AA27" s="865"/>
      <c r="AB27" s="113"/>
      <c r="AC27" s="864">
        <f>IFERROR(VLOOKUP(Ram_1!$H$25,'Translate&amp;Prices&amp;Logo'!$AH$1:$AI$165,2,0),Ram_1!$H$25)</f>
        <v>0</v>
      </c>
      <c r="AD27" s="864"/>
      <c r="AE27" s="864"/>
      <c r="AF27" s="864"/>
      <c r="AG27" s="864"/>
      <c r="AH27" s="864"/>
      <c r="AI27" s="864"/>
      <c r="AJ27" s="864"/>
      <c r="AK27" s="864"/>
      <c r="AL27" s="864"/>
      <c r="AM27" s="864"/>
      <c r="AN27" s="864"/>
      <c r="AO27" s="864"/>
      <c r="AR27" s="880"/>
      <c r="BD27" s="390" t="s">
        <v>4027</v>
      </c>
      <c r="BE27" s="1" t="s">
        <v>222</v>
      </c>
      <c r="BM27" s="1" t="s">
        <v>315</v>
      </c>
      <c r="BN27" s="1" t="s">
        <v>253</v>
      </c>
      <c r="CA27" s="390" t="s">
        <v>1520</v>
      </c>
      <c r="CB27" t="s">
        <v>1439</v>
      </c>
      <c r="CK27" t="s">
        <v>1459</v>
      </c>
      <c r="CL27" t="s">
        <v>3222</v>
      </c>
    </row>
    <row r="28" spans="19:90" ht="16.350000000000001" customHeight="1">
      <c r="W28" s="865" t="str">
        <f>'Translate&amp;Prices&amp;Logo'!$O$549</f>
        <v>Rozstaw uchwytu (mm)</v>
      </c>
      <c r="X28" s="865"/>
      <c r="Y28" s="865"/>
      <c r="Z28" s="865"/>
      <c r="AA28" s="865"/>
      <c r="AB28" s="113"/>
      <c r="AC28" s="864">
        <f>Ram_1!$H$26</f>
        <v>0</v>
      </c>
      <c r="AD28" s="864"/>
      <c r="AE28" s="864"/>
      <c r="AF28" s="864"/>
      <c r="AG28" s="864"/>
      <c r="AH28" s="864"/>
      <c r="AI28" s="864"/>
      <c r="AJ28" s="864"/>
      <c r="AK28" s="864"/>
      <c r="AL28" s="864"/>
      <c r="AM28" s="864"/>
      <c r="AN28" s="864"/>
      <c r="AO28" s="864"/>
      <c r="AR28" s="880"/>
      <c r="BD28" s="390" t="s">
        <v>4028</v>
      </c>
      <c r="BE28" s="1" t="s">
        <v>223</v>
      </c>
      <c r="BM28" s="1" t="s">
        <v>316</v>
      </c>
      <c r="BN28" s="1" t="s">
        <v>254</v>
      </c>
      <c r="CA28" s="390" t="s">
        <v>4230</v>
      </c>
      <c r="CB28" t="s">
        <v>1440</v>
      </c>
      <c r="CK28" t="s">
        <v>1179</v>
      </c>
      <c r="CL28" t="s">
        <v>3120</v>
      </c>
    </row>
    <row r="29" spans="19:90" ht="16.350000000000001" customHeight="1">
      <c r="W29" s="865" t="str">
        <f>'Translate&amp;Prices&amp;Logo'!$O$550</f>
        <v>Umieszczenie uchwytu</v>
      </c>
      <c r="X29" s="865"/>
      <c r="Y29" s="865"/>
      <c r="Z29" s="865"/>
      <c r="AA29" s="865"/>
      <c r="AB29" s="113"/>
      <c r="AC29" s="864">
        <f>IFERROR(VLOOKUP(Ram_1!$H$27,BM62:BN65,2,0),0)</f>
        <v>0</v>
      </c>
      <c r="AD29" s="864"/>
      <c r="AE29" s="864"/>
      <c r="AF29" s="864"/>
      <c r="AG29" s="864"/>
      <c r="AH29" s="864"/>
      <c r="AI29" s="864"/>
      <c r="AJ29" s="864"/>
      <c r="AK29" s="864"/>
      <c r="AL29" s="864"/>
      <c r="AM29" s="864"/>
      <c r="AN29" s="864"/>
      <c r="AO29" s="864"/>
      <c r="AR29" s="880"/>
      <c r="BD29" s="390" t="s">
        <v>4029</v>
      </c>
      <c r="BE29" s="1" t="s">
        <v>1254</v>
      </c>
      <c r="BM29" s="1" t="s">
        <v>317</v>
      </c>
      <c r="BN29" s="1" t="s">
        <v>255</v>
      </c>
      <c r="CA29" s="390" t="s">
        <v>4231</v>
      </c>
      <c r="CB29" t="s">
        <v>1441</v>
      </c>
      <c r="CK29" t="s">
        <v>1185</v>
      </c>
      <c r="CL29" t="s">
        <v>3121</v>
      </c>
    </row>
    <row r="30" spans="19:90" ht="16.350000000000001" customHeight="1">
      <c r="W30" s="865" t="str">
        <f>('Translate&amp;Prices&amp;Logo'!$O$174)&amp;" "&amp;"-"&amp;" "&amp;('Translate&amp;Prices&amp;Logo'!$O$169)&amp;" "&amp;" "&amp;1</f>
        <v>Ilość sztuk - Ramka  1</v>
      </c>
      <c r="X30" s="865"/>
      <c r="Y30" s="865"/>
      <c r="Z30" s="865"/>
      <c r="AA30" s="865"/>
      <c r="AB30" s="113"/>
      <c r="AC30" s="864">
        <f>Ram_1!$H$28</f>
        <v>0</v>
      </c>
      <c r="AD30" s="864"/>
      <c r="AE30" s="864"/>
      <c r="AF30" s="864"/>
      <c r="AG30" s="864"/>
      <c r="AH30" s="864"/>
      <c r="AI30" s="864"/>
      <c r="AJ30" s="864"/>
      <c r="AK30" s="864"/>
      <c r="AL30" s="864"/>
      <c r="AM30" s="864"/>
      <c r="AN30" s="864"/>
      <c r="AO30" s="864"/>
      <c r="AR30" s="880"/>
      <c r="BM30" s="1" t="s">
        <v>318</v>
      </c>
      <c r="BN30" s="1" t="s">
        <v>256</v>
      </c>
      <c r="CK30" s="305" t="s">
        <v>3122</v>
      </c>
      <c r="CL30" t="s">
        <v>4530</v>
      </c>
    </row>
    <row r="31" spans="19:90" ht="16.350000000000001" customHeight="1">
      <c r="AE31" s="1"/>
      <c r="AF31" s="1"/>
      <c r="AR31" s="880"/>
      <c r="BM31" s="1" t="s">
        <v>1373</v>
      </c>
      <c r="BN31" s="1" t="s">
        <v>1425</v>
      </c>
      <c r="CK31" s="305" t="s">
        <v>3123</v>
      </c>
      <c r="CL31" t="s">
        <v>4531</v>
      </c>
    </row>
    <row r="32" spans="19:90" ht="14.85" customHeight="1">
      <c r="AR32" s="880"/>
      <c r="BM32" s="1" t="s">
        <v>1476</v>
      </c>
      <c r="BN32" s="1" t="s">
        <v>253</v>
      </c>
      <c r="BS32" s="390"/>
      <c r="CK32" s="305" t="s">
        <v>3124</v>
      </c>
      <c r="CL32" t="s">
        <v>3217</v>
      </c>
    </row>
    <row r="33" spans="1:90" ht="14.85" customHeight="1">
      <c r="W33" s="870" t="s">
        <v>1725</v>
      </c>
      <c r="X33" s="870"/>
      <c r="Y33" s="870"/>
      <c r="Z33" s="870"/>
      <c r="AE33" s="870" t="s">
        <v>1726</v>
      </c>
      <c r="AF33" s="870"/>
      <c r="AG33" s="870"/>
      <c r="AH33" s="870"/>
      <c r="AR33" s="880"/>
      <c r="BM33" s="1" t="s">
        <v>1477</v>
      </c>
      <c r="BN33" s="1" t="s">
        <v>254</v>
      </c>
      <c r="BS33" s="390"/>
      <c r="CK33" s="305" t="s">
        <v>3125</v>
      </c>
      <c r="CL33" t="s">
        <v>3218</v>
      </c>
    </row>
    <row r="34" spans="1:90" ht="14.85" customHeight="1">
      <c r="AE34" s="882"/>
      <c r="AF34" s="883"/>
      <c r="AG34" s="883"/>
      <c r="AH34" s="883"/>
      <c r="AI34" s="883"/>
      <c r="AJ34" s="883"/>
      <c r="AK34" s="883"/>
      <c r="AL34" s="883"/>
      <c r="AM34" s="883"/>
      <c r="AN34" s="884"/>
      <c r="AR34" s="880"/>
      <c r="BM34" s="1" t="s">
        <v>1601</v>
      </c>
      <c r="BN34" s="1" t="s">
        <v>255</v>
      </c>
      <c r="BS34" s="390"/>
      <c r="CK34" s="305" t="s">
        <v>3126</v>
      </c>
      <c r="CL34" t="s">
        <v>3220</v>
      </c>
    </row>
    <row r="35" spans="1:90" ht="14.85" customHeight="1">
      <c r="AE35" s="885"/>
      <c r="AF35" s="886"/>
      <c r="AG35" s="886"/>
      <c r="AH35" s="886"/>
      <c r="AI35" s="886"/>
      <c r="AJ35" s="886"/>
      <c r="AK35" s="886"/>
      <c r="AL35" s="886"/>
      <c r="AM35" s="886"/>
      <c r="AN35" s="887"/>
      <c r="AR35" s="880"/>
      <c r="BM35" s="1" t="s">
        <v>1602</v>
      </c>
      <c r="BN35" s="1" t="s">
        <v>256</v>
      </c>
      <c r="BS35" s="390"/>
      <c r="CK35" s="305" t="s">
        <v>3127</v>
      </c>
      <c r="CL35" t="s">
        <v>3221</v>
      </c>
    </row>
    <row r="36" spans="1:90" ht="14.85" customHeight="1">
      <c r="AE36" s="885"/>
      <c r="AF36" s="886"/>
      <c r="AG36" s="886"/>
      <c r="AH36" s="886"/>
      <c r="AI36" s="886"/>
      <c r="AJ36" s="886"/>
      <c r="AK36" s="886"/>
      <c r="AL36" s="886"/>
      <c r="AM36" s="886"/>
      <c r="AN36" s="887"/>
      <c r="AR36" s="880"/>
      <c r="BM36" s="1" t="s">
        <v>1051</v>
      </c>
      <c r="BN36" s="1" t="s">
        <v>1425</v>
      </c>
      <c r="BS36" s="233"/>
      <c r="BT36" s="191"/>
      <c r="CK36" s="305" t="s">
        <v>3128</v>
      </c>
      <c r="CL36" t="s">
        <v>3222</v>
      </c>
    </row>
    <row r="37" spans="1:90" ht="14.85" customHeight="1">
      <c r="D37" s="894">
        <f>IF(OR(Ram_1!$AC$25="x",Ram_1!$AJ$26="x",Ram_1!$AC$9="x",Ram_1!$AJ$7="x",Ram_1!$AB$16="x",Ram_1!$AM$23="x",Ram_1!$AN$19="x",Ram_1!$AD$10="x"),'Translate&amp;Prices&amp;Logo'!$B$588,0)</f>
        <v>0</v>
      </c>
      <c r="E37" s="894"/>
      <c r="F37" s="894"/>
      <c r="G37" s="894"/>
      <c r="H37" s="894"/>
      <c r="I37" s="894"/>
      <c r="J37" s="894"/>
      <c r="K37" s="894"/>
      <c r="L37" s="894"/>
      <c r="M37" s="894"/>
      <c r="N37" s="894"/>
      <c r="O37" s="894"/>
      <c r="P37" s="894"/>
      <c r="AE37" s="885"/>
      <c r="AF37" s="886"/>
      <c r="AG37" s="886"/>
      <c r="AH37" s="886"/>
      <c r="AI37" s="886"/>
      <c r="AJ37" s="886"/>
      <c r="AK37" s="886"/>
      <c r="AL37" s="886"/>
      <c r="AM37" s="886"/>
      <c r="AN37" s="887"/>
      <c r="AR37" s="880"/>
      <c r="BM37" s="390" t="s">
        <v>4067</v>
      </c>
      <c r="BN37" s="1" t="s">
        <v>253</v>
      </c>
      <c r="BS37" s="191"/>
      <c r="BT37" s="191"/>
      <c r="CK37" s="306" t="s">
        <v>3129</v>
      </c>
      <c r="CL37" t="s">
        <v>4530</v>
      </c>
    </row>
    <row r="38" spans="1:90" ht="14.85" customHeight="1">
      <c r="AE38" s="885"/>
      <c r="AF38" s="886"/>
      <c r="AG38" s="886"/>
      <c r="AH38" s="886"/>
      <c r="AI38" s="886"/>
      <c r="AJ38" s="886"/>
      <c r="AK38" s="886"/>
      <c r="AL38" s="886"/>
      <c r="AM38" s="886"/>
      <c r="AN38" s="887"/>
      <c r="AR38" s="880"/>
      <c r="BM38" s="390" t="s">
        <v>4068</v>
      </c>
      <c r="BN38" s="1" t="s">
        <v>254</v>
      </c>
      <c r="BS38" s="191"/>
      <c r="BT38" s="191"/>
      <c r="CK38" s="306" t="s">
        <v>2686</v>
      </c>
      <c r="CL38" t="s">
        <v>4531</v>
      </c>
    </row>
    <row r="39" spans="1:90" ht="14.85" customHeight="1" thickBot="1">
      <c r="AE39" s="885"/>
      <c r="AF39" s="886"/>
      <c r="AG39" s="886"/>
      <c r="AH39" s="886"/>
      <c r="AI39" s="886"/>
      <c r="AJ39" s="886"/>
      <c r="AK39" s="886"/>
      <c r="AL39" s="886"/>
      <c r="AM39" s="886"/>
      <c r="AN39" s="887"/>
      <c r="AR39" s="880"/>
      <c r="BM39" s="390" t="s">
        <v>4069</v>
      </c>
      <c r="BN39" s="1" t="s">
        <v>255</v>
      </c>
      <c r="BS39" s="191"/>
      <c r="BT39" s="191"/>
      <c r="CK39" s="306" t="s">
        <v>2682</v>
      </c>
      <c r="CL39" t="s">
        <v>3217</v>
      </c>
    </row>
    <row r="40" spans="1:90" ht="14.85" customHeight="1" thickBot="1">
      <c r="G40" s="871" t="str">
        <f>'Translate&amp;Prices&amp;Logo'!$O$175</f>
        <v>Szerokość</v>
      </c>
      <c r="H40" s="872">
        <f>Ram_1!AG30</f>
        <v>0</v>
      </c>
      <c r="I40" s="872">
        <f>Ram_1!AH30</f>
        <v>0</v>
      </c>
      <c r="J40" s="873">
        <f>Ram_1!AI30</f>
        <v>0</v>
      </c>
      <c r="K40" s="873">
        <f>Ram_1!AJ30</f>
        <v>0</v>
      </c>
      <c r="L40" s="874">
        <f>Ram_1!AK30</f>
        <v>0</v>
      </c>
      <c r="AE40" s="885"/>
      <c r="AF40" s="886"/>
      <c r="AG40" s="886"/>
      <c r="AH40" s="886"/>
      <c r="AI40" s="886"/>
      <c r="AJ40" s="886"/>
      <c r="AK40" s="886"/>
      <c r="AL40" s="886"/>
      <c r="AM40" s="886"/>
      <c r="AN40" s="887"/>
      <c r="AR40" s="880"/>
      <c r="BM40" s="390" t="s">
        <v>4070</v>
      </c>
      <c r="BN40" s="1" t="s">
        <v>256</v>
      </c>
      <c r="CK40" s="306" t="s">
        <v>2685</v>
      </c>
      <c r="CL40" t="s">
        <v>3218</v>
      </c>
    </row>
    <row r="41" spans="1:90" ht="21" customHeight="1">
      <c r="AE41" s="888"/>
      <c r="AF41" s="889"/>
      <c r="AG41" s="889"/>
      <c r="AH41" s="889"/>
      <c r="AI41" s="889"/>
      <c r="AJ41" s="889"/>
      <c r="AK41" s="889"/>
      <c r="AL41" s="889"/>
      <c r="AM41" s="889"/>
      <c r="AN41" s="890"/>
      <c r="AR41" s="880"/>
      <c r="BM41" s="390" t="s">
        <v>4071</v>
      </c>
      <c r="BN41" s="1" t="s">
        <v>1425</v>
      </c>
      <c r="CK41" s="306" t="s">
        <v>2683</v>
      </c>
      <c r="CL41" t="s">
        <v>3220</v>
      </c>
    </row>
    <row r="42" spans="1:90" ht="14.85" customHeight="1">
      <c r="AR42" s="880"/>
      <c r="BM42" s="1" t="s">
        <v>113</v>
      </c>
      <c r="BN42" s="1" t="s">
        <v>1239</v>
      </c>
      <c r="CK42" s="306" t="s">
        <v>2684</v>
      </c>
      <c r="CL42" t="s">
        <v>3221</v>
      </c>
    </row>
    <row r="43" spans="1:90" ht="14.85" customHeight="1">
      <c r="AR43" s="880"/>
      <c r="BM43" s="1" t="s">
        <v>114</v>
      </c>
      <c r="BN43" s="1" t="s">
        <v>1424</v>
      </c>
      <c r="CK43" s="306" t="s">
        <v>2687</v>
      </c>
      <c r="CL43" t="s">
        <v>3222</v>
      </c>
    </row>
    <row r="44" spans="1:90"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181"/>
      <c r="AF44" s="182"/>
      <c r="AG44" s="30"/>
      <c r="AH44" s="30"/>
      <c r="AI44" s="30"/>
      <c r="AJ44" s="30"/>
      <c r="AK44" s="30"/>
      <c r="AL44" s="30"/>
      <c r="AM44" s="30"/>
      <c r="AN44" s="30"/>
      <c r="AO44" s="30"/>
      <c r="AP44" s="30"/>
      <c r="AQ44" s="30"/>
      <c r="AR44" s="30"/>
      <c r="BM44" s="1" t="s">
        <v>104</v>
      </c>
      <c r="BN44" s="1" t="s">
        <v>250</v>
      </c>
      <c r="CK44" s="307" t="s">
        <v>3130</v>
      </c>
      <c r="CL44" t="s">
        <v>4530</v>
      </c>
    </row>
    <row r="45" spans="1:90" ht="35.1" customHeight="1" thickBot="1">
      <c r="J45" s="178"/>
      <c r="K45" s="178"/>
      <c r="L45" s="178"/>
      <c r="M45" s="178"/>
      <c r="N45" s="178"/>
      <c r="O45" s="178"/>
      <c r="P45" s="178"/>
      <c r="Q45" s="178"/>
      <c r="R45" s="178"/>
      <c r="S45" s="178"/>
      <c r="T45" s="178"/>
      <c r="U45" s="178"/>
      <c r="V45" s="178"/>
      <c r="W45" s="869" t="str">
        <f>'Translate&amp;Prices&amp;Logo'!$O$256</f>
        <v>Numer zamówienia</v>
      </c>
      <c r="X45" s="869"/>
      <c r="Y45" s="869"/>
      <c r="Z45" s="869"/>
      <c r="AA45" s="869"/>
      <c r="AB45" s="113"/>
      <c r="AC45" s="866"/>
      <c r="AD45" s="867"/>
      <c r="AE45" s="867"/>
      <c r="AF45" s="867"/>
      <c r="AG45" s="867"/>
      <c r="AH45" s="867"/>
      <c r="AI45" s="867"/>
      <c r="AJ45" s="867"/>
      <c r="AK45" s="867"/>
      <c r="AL45" s="867"/>
      <c r="AM45" s="867"/>
      <c r="AN45" s="867"/>
      <c r="AO45" s="868"/>
      <c r="AR45" s="880" t="s">
        <v>1728</v>
      </c>
      <c r="BM45" s="1" t="s">
        <v>103</v>
      </c>
      <c r="BN45" s="1" t="s">
        <v>251</v>
      </c>
      <c r="CK45" s="307" t="s">
        <v>3131</v>
      </c>
      <c r="CL45" t="s">
        <v>4531</v>
      </c>
    </row>
    <row r="46" spans="1:90" ht="16.350000000000001" customHeight="1">
      <c r="W46" s="865" t="str">
        <f>'Translate&amp;Prices&amp;Logo'!$O$542</f>
        <v>Połączenie 2 profili</v>
      </c>
      <c r="X46" s="865"/>
      <c r="Y46" s="865"/>
      <c r="Z46" s="865"/>
      <c r="AA46" s="865"/>
      <c r="AB46" s="113"/>
      <c r="AC46" s="879" t="str">
        <f>IF(kombinace_2!$H$1=TRUE,"Tak","Nie")</f>
        <v>Nie</v>
      </c>
      <c r="AD46" s="879"/>
      <c r="AE46" s="879"/>
      <c r="AF46" s="879"/>
      <c r="AG46" s="879"/>
      <c r="AH46" s="879"/>
      <c r="AI46" s="879"/>
      <c r="AJ46" s="879"/>
      <c r="AK46" s="879"/>
      <c r="AL46" s="879"/>
      <c r="AM46" s="879"/>
      <c r="AN46" s="879"/>
      <c r="AO46" s="879"/>
      <c r="AR46" s="880"/>
      <c r="BM46" s="1" t="s">
        <v>1241</v>
      </c>
      <c r="BN46" s="1" t="s">
        <v>1239</v>
      </c>
      <c r="CK46" s="307" t="s">
        <v>3132</v>
      </c>
      <c r="CL46" t="s">
        <v>2676</v>
      </c>
    </row>
    <row r="47" spans="1:90" ht="16.350000000000001" customHeight="1">
      <c r="W47" s="865" t="str">
        <f>'Translate&amp;Prices&amp;Logo'!$O$172</f>
        <v>Rodzaj profilu</v>
      </c>
      <c r="X47" s="865"/>
      <c r="Y47" s="865"/>
      <c r="Z47" s="865"/>
      <c r="AA47" s="865"/>
      <c r="AB47" s="113"/>
      <c r="AC47" s="864">
        <f>IFERROR(VLOOKUP(Ram_2!$H$8,'Translate&amp;Prices&amp;Logo'!AA1:AB282,2,0),Ram_2!$H$8)</f>
        <v>0</v>
      </c>
      <c r="AD47" s="864"/>
      <c r="AE47" s="864"/>
      <c r="AF47" s="864"/>
      <c r="AG47" s="864"/>
      <c r="AH47" s="864"/>
      <c r="AI47" s="864"/>
      <c r="AJ47" s="864"/>
      <c r="AK47" s="864"/>
      <c r="AL47" s="864"/>
      <c r="AM47" s="864"/>
      <c r="AN47" s="864"/>
      <c r="AO47" s="864"/>
      <c r="AR47" s="880"/>
      <c r="BM47" s="1" t="s">
        <v>114</v>
      </c>
      <c r="BN47" s="1" t="s">
        <v>1424</v>
      </c>
      <c r="CK47" s="307" t="s">
        <v>3133</v>
      </c>
      <c r="CL47" t="s">
        <v>2679</v>
      </c>
    </row>
    <row r="48" spans="1:90" ht="16.350000000000001" customHeight="1">
      <c r="W48" s="865" t="str">
        <f>'Translate&amp;Prices&amp;Logo'!$O$543</f>
        <v>Szprosy</v>
      </c>
      <c r="X48" s="865"/>
      <c r="Y48" s="865"/>
      <c r="Z48" s="865"/>
      <c r="AA48" s="865"/>
      <c r="AB48" s="113"/>
      <c r="AC48" s="864" t="str">
        <f>IFERROR(VLOOKUP(Ram_2!$AU$10,AU48:AV51,2,0),0)</f>
        <v>Nie</v>
      </c>
      <c r="AD48" s="864"/>
      <c r="AE48" s="864"/>
      <c r="AF48" s="864"/>
      <c r="AG48" s="864"/>
      <c r="AH48" s="864"/>
      <c r="AI48" s="864"/>
      <c r="AJ48" s="864"/>
      <c r="AK48" s="864"/>
      <c r="AL48" s="864"/>
      <c r="AM48" s="864"/>
      <c r="AN48" s="864"/>
      <c r="AO48" s="864"/>
      <c r="AR48" s="880"/>
      <c r="AU48">
        <v>0</v>
      </c>
      <c r="AV48" t="str">
        <f>'Translate&amp;Prices&amp;Logo'!$O$557</f>
        <v>Nie</v>
      </c>
      <c r="AZ48">
        <v>2</v>
      </c>
      <c r="BA48" t="str">
        <f>'Translate&amp;Prices&amp;Logo'!$O$551</f>
        <v>Zawiasy</v>
      </c>
      <c r="BM48" s="1" t="s">
        <v>189</v>
      </c>
      <c r="BN48" s="1" t="s">
        <v>250</v>
      </c>
      <c r="BX48" s="1">
        <v>1</v>
      </c>
      <c r="BY48" s="1" t="str">
        <f>'Translate&amp;Prices&amp;Logo'!$O$100</f>
        <v>Bez modyfikacji</v>
      </c>
      <c r="CA48"/>
      <c r="CB48"/>
      <c r="CK48" s="307" t="s">
        <v>3134</v>
      </c>
      <c r="CL48" t="s">
        <v>3217</v>
      </c>
    </row>
    <row r="49" spans="19:90" ht="16.350000000000001" customHeight="1">
      <c r="W49" s="183"/>
      <c r="X49" s="183"/>
      <c r="Y49" s="183"/>
      <c r="Z49" s="183"/>
      <c r="AA49" s="183"/>
      <c r="AB49" s="113"/>
      <c r="AC49" s="881" t="str">
        <f>'Translate&amp;Prices&amp;Logo'!$O$558</f>
        <v>Poziomo (termin dostawy 4 tygodnie)</v>
      </c>
      <c r="AD49" s="881"/>
      <c r="AE49" s="881"/>
      <c r="AF49" s="881"/>
      <c r="AG49" s="881"/>
      <c r="AH49" s="881"/>
      <c r="AI49" s="881"/>
      <c r="AJ49" s="881" t="str">
        <f>'Translate&amp;Prices&amp;Logo'!$O$559</f>
        <v>Pionowo (termin dostawy 4 tygodnie)</v>
      </c>
      <c r="AK49" s="881"/>
      <c r="AL49" s="881"/>
      <c r="AM49" s="881"/>
      <c r="AN49" s="881"/>
      <c r="AO49" s="881"/>
      <c r="AR49" s="880"/>
      <c r="AU49">
        <v>1</v>
      </c>
      <c r="AV49" t="str">
        <f>'Translate&amp;Prices&amp;Logo'!$O$558</f>
        <v>Poziomo (termin dostawy 4 tygodnie)</v>
      </c>
      <c r="AZ49">
        <v>3</v>
      </c>
      <c r="BA49" t="str">
        <f>'Translate&amp;Prices&amp;Logo'!$O$552</f>
        <v>Podnośniki</v>
      </c>
      <c r="BM49" s="1" t="s">
        <v>190</v>
      </c>
      <c r="BN49" s="1" t="s">
        <v>251</v>
      </c>
      <c r="BX49" s="1">
        <v>2</v>
      </c>
      <c r="BY49" s="1" t="str">
        <f>'Translate&amp;Prices&amp;Logo'!$O$101</f>
        <v>Hartowane</v>
      </c>
      <c r="CA49"/>
      <c r="CB49"/>
      <c r="CK49" s="307" t="s">
        <v>3135</v>
      </c>
      <c r="CL49" t="s">
        <v>3218</v>
      </c>
    </row>
    <row r="50" spans="19:90" ht="16.350000000000001" customHeight="1">
      <c r="W50" s="865" t="str">
        <f>('Translate&amp;Prices&amp;Logo'!$O$543)&amp;" "&amp;"("&amp;'Translate&amp;Prices&amp;Logo'!$O$174&amp;")"</f>
        <v>Szprosy (Ilość sztuk)</v>
      </c>
      <c r="X50" s="865"/>
      <c r="Y50" s="865"/>
      <c r="Z50" s="865"/>
      <c r="AA50" s="865"/>
      <c r="AB50" s="113"/>
      <c r="AC50" s="864">
        <f>Ram_2!$H$11</f>
        <v>0</v>
      </c>
      <c r="AD50" s="864"/>
      <c r="AE50" s="864"/>
      <c r="AF50" s="864"/>
      <c r="AG50" s="864"/>
      <c r="AH50" s="864"/>
      <c r="AI50" s="864"/>
      <c r="AJ50" s="864">
        <f>Ram_2!$M$11</f>
        <v>0</v>
      </c>
      <c r="AK50" s="864"/>
      <c r="AL50" s="864"/>
      <c r="AM50" s="864"/>
      <c r="AN50" s="864"/>
      <c r="AO50" s="864"/>
      <c r="AR50" s="880"/>
      <c r="AU50">
        <v>2</v>
      </c>
      <c r="AV50" t="str">
        <f>'Translate&amp;Prices&amp;Logo'!$O$559</f>
        <v>Pionowo (termin dostawy 4 tygodnie)</v>
      </c>
      <c r="BM50" s="1" t="s">
        <v>1239</v>
      </c>
      <c r="BN50" s="1" t="s">
        <v>1239</v>
      </c>
      <c r="BX50" s="1">
        <v>3</v>
      </c>
      <c r="BY50" s="1" t="str">
        <f>'Translate&amp;Prices&amp;Logo'!$O$102</f>
        <v>Folia</v>
      </c>
      <c r="CA50"/>
      <c r="CB50"/>
      <c r="CK50" s="307" t="s">
        <v>3136</v>
      </c>
      <c r="CL50" t="s">
        <v>3116</v>
      </c>
    </row>
    <row r="51" spans="19:90" ht="16.350000000000001" customHeight="1">
      <c r="W51" s="865" t="str">
        <f>'Translate&amp;Prices&amp;Logo'!$O$258</f>
        <v>Typ okucia</v>
      </c>
      <c r="X51" s="865"/>
      <c r="Y51" s="865"/>
      <c r="Z51" s="865"/>
      <c r="AA51" s="865"/>
      <c r="AB51" s="113"/>
      <c r="AC51" s="864">
        <f>IFERROR(VLOOKUP(Ram_2!$AU$9,AZ48:BA49,2,0),0)</f>
        <v>0</v>
      </c>
      <c r="AD51" s="864"/>
      <c r="AE51" s="864"/>
      <c r="AF51" s="864"/>
      <c r="AG51" s="864"/>
      <c r="AH51" s="864"/>
      <c r="AI51" s="864"/>
      <c r="AJ51" s="864"/>
      <c r="AK51" s="864"/>
      <c r="AL51" s="864"/>
      <c r="AM51" s="864"/>
      <c r="AN51" s="864"/>
      <c r="AO51" s="864"/>
      <c r="AR51" s="880"/>
      <c r="AU51">
        <v>3</v>
      </c>
      <c r="AV51" t="str">
        <f>'Translate&amp;Prices&amp;Logo'!$O$560</f>
        <v>Poziomo i pionowo (termin dostawy 4 tygodnie)</v>
      </c>
      <c r="BM51" s="1" t="s">
        <v>1424</v>
      </c>
      <c r="BN51" s="1" t="s">
        <v>1424</v>
      </c>
      <c r="CA51"/>
      <c r="CB51"/>
      <c r="CK51" s="307" t="s">
        <v>3137</v>
      </c>
      <c r="CL51" t="s">
        <v>3117</v>
      </c>
    </row>
    <row r="52" spans="19:90" ht="16.350000000000001" customHeight="1">
      <c r="W52" s="865" t="str">
        <f>'Translate&amp;Prices&amp;Logo'!$O$544</f>
        <v>Marka okucia</v>
      </c>
      <c r="X52" s="865"/>
      <c r="Y52" s="865"/>
      <c r="Z52" s="865"/>
      <c r="AA52" s="865"/>
      <c r="AB52" s="113"/>
      <c r="AC52" s="864">
        <f>Ram_2!$H$13</f>
        <v>0</v>
      </c>
      <c r="AD52" s="864"/>
      <c r="AE52" s="864"/>
      <c r="AF52" s="864"/>
      <c r="AG52" s="864"/>
      <c r="AH52" s="864"/>
      <c r="AI52" s="864"/>
      <c r="AJ52" s="864"/>
      <c r="AK52" s="864"/>
      <c r="AL52" s="864"/>
      <c r="AM52" s="864"/>
      <c r="AN52" s="864"/>
      <c r="AO52" s="864"/>
      <c r="AR52" s="880"/>
      <c r="BM52" s="1" t="s">
        <v>250</v>
      </c>
      <c r="BN52" s="1" t="s">
        <v>250</v>
      </c>
      <c r="CA52"/>
      <c r="CB52"/>
      <c r="CK52" s="307" t="s">
        <v>3138</v>
      </c>
      <c r="CL52" t="s">
        <v>3421</v>
      </c>
    </row>
    <row r="53" spans="19:90" ht="16.350000000000001" customHeight="1" thickBot="1">
      <c r="W53" s="865" t="str">
        <f>'Translate&amp;Prices&amp;Logo'!$O$546</f>
        <v>Nałożenie</v>
      </c>
      <c r="X53" s="865"/>
      <c r="Y53" s="865"/>
      <c r="Z53" s="865"/>
      <c r="AA53" s="865"/>
      <c r="AB53" s="113"/>
      <c r="AC53" s="864">
        <f>IFERROR(VLOOKUP(Ram_2!$H$14,$BD$12:$BE$29,2,0),0)</f>
        <v>0</v>
      </c>
      <c r="AD53" s="864"/>
      <c r="AE53" s="864"/>
      <c r="AF53" s="864"/>
      <c r="AG53" s="864"/>
      <c r="AH53" s="864"/>
      <c r="AI53" s="864"/>
      <c r="AJ53" s="864"/>
      <c r="AK53" s="864"/>
      <c r="AL53" s="864"/>
      <c r="AM53" s="864"/>
      <c r="AN53" s="864"/>
      <c r="AO53" s="864"/>
      <c r="AR53" s="880"/>
      <c r="BM53" s="1" t="s">
        <v>251</v>
      </c>
      <c r="BN53" s="1" t="s">
        <v>251</v>
      </c>
      <c r="CA53"/>
      <c r="CB53"/>
      <c r="CK53" s="307" t="s">
        <v>3139</v>
      </c>
      <c r="CL53" t="s">
        <v>3420</v>
      </c>
    </row>
    <row r="54" spans="19:90" ht="16.350000000000001" customHeight="1">
      <c r="S54" s="875">
        <f>Ram_2!AR14</f>
        <v>0</v>
      </c>
      <c r="W54" s="865" t="str">
        <f>'Translate&amp;Prices&amp;Logo'!$O$545</f>
        <v>Wariant okucia</v>
      </c>
      <c r="X54" s="865"/>
      <c r="Y54" s="865"/>
      <c r="Z54" s="865"/>
      <c r="AA54" s="865"/>
      <c r="AB54" s="113"/>
      <c r="AC54" s="304">
        <f>IFERROR(VLOOKUP(Ram_2!$H$15,kombinace_1!$ED$2:$EE$760,2,0),Ram_2!$H$15)</f>
        <v>0</v>
      </c>
      <c r="AD54" s="304"/>
      <c r="AE54" s="304"/>
      <c r="AF54" s="304"/>
      <c r="AG54" s="304"/>
      <c r="AH54" s="304"/>
      <c r="AI54" s="304"/>
      <c r="AJ54" s="891" t="str">
        <f>IF(AC54='Translate&amp;Prices&amp;Logo'!C698,VLOOKUP(Ram_2!H17,'Translate&amp;Prices&amp;Logo'!C699:D746,2,0),"")</f>
        <v/>
      </c>
      <c r="AK54" s="891"/>
      <c r="AL54" s="891"/>
      <c r="AM54" s="891"/>
      <c r="AN54" s="891"/>
      <c r="AO54" s="891"/>
      <c r="AR54" s="880"/>
      <c r="BM54" s="1" t="s">
        <v>1240</v>
      </c>
      <c r="BN54" s="1" t="s">
        <v>1239</v>
      </c>
      <c r="CA54"/>
      <c r="CB54"/>
      <c r="CK54" s="307" t="s">
        <v>3140</v>
      </c>
      <c r="CL54" t="s">
        <v>2678</v>
      </c>
    </row>
    <row r="55" spans="19:90" ht="16.350000000000001" customHeight="1">
      <c r="S55" s="876">
        <f>Ram_1!AR51</f>
        <v>0</v>
      </c>
      <c r="W55" s="865" t="str">
        <f>'Translate&amp;Prices&amp;Logo'!$O$218</f>
        <v>Wybierz pozycję ramki</v>
      </c>
      <c r="X55" s="865"/>
      <c r="Y55" s="865"/>
      <c r="Z55" s="865"/>
      <c r="AA55" s="865"/>
      <c r="AB55" s="864">
        <f>IFERROR(VLOOKUP(Ram_2!$F$16,BI12:BJ23,2,0),0)</f>
        <v>0</v>
      </c>
      <c r="AC55" s="864"/>
      <c r="AD55" s="864"/>
      <c r="AE55" s="864"/>
      <c r="AF55" s="864"/>
      <c r="AG55" s="892" t="str">
        <f>'Translate&amp;Prices&amp;Logo'!$O$232</f>
        <v>Rodzaj drugiej ramki</v>
      </c>
      <c r="AH55" s="892"/>
      <c r="AI55" s="892"/>
      <c r="AJ55" s="864">
        <f>IFERROR(VLOOKUP(Ram_2!$N$16,BM12:BN41,2,0),0)</f>
        <v>0</v>
      </c>
      <c r="AK55" s="864"/>
      <c r="AL55" s="864"/>
      <c r="AM55" s="864"/>
      <c r="AN55" s="864"/>
      <c r="AO55" s="864"/>
      <c r="AR55" s="880"/>
      <c r="BM55" s="1" t="s">
        <v>1242</v>
      </c>
      <c r="BN55" s="1" t="s">
        <v>1424</v>
      </c>
      <c r="CA55"/>
      <c r="CB55"/>
      <c r="CK55" s="307" t="s">
        <v>3141</v>
      </c>
      <c r="CL55" t="s">
        <v>3423</v>
      </c>
    </row>
    <row r="56" spans="19:90" ht="16.350000000000001" customHeight="1">
      <c r="S56" s="876">
        <f>Ram_1!AR52</f>
        <v>0</v>
      </c>
      <c r="W56" s="865" t="str">
        <f>IF(AC51='Translate&amp;Prices&amp;Logo'!O551,'Translate&amp;Prices&amp;Logo'!O238,'Translate&amp;Prices&amp;Logo'!$O$226)</f>
        <v>Umieszczenie</v>
      </c>
      <c r="X56" s="865"/>
      <c r="Y56" s="865"/>
      <c r="Z56" s="865"/>
      <c r="AA56" s="865"/>
      <c r="AB56" s="113"/>
      <c r="AC56" s="304" t="str">
        <f>IFERROR((IF(Ram_2!H12='Translate&amp;Prices&amp;Logo'!B552,VLOOKUP(Ram_2!$N$16,BM42:BN71,2,0),VLOOKUP(Ram_2!$H$17,BM42:BN65,2,0))),"")</f>
        <v/>
      </c>
      <c r="AD56" s="304"/>
      <c r="AE56" s="304"/>
      <c r="AF56" s="304"/>
      <c r="AG56" s="304"/>
      <c r="AH56" s="304"/>
      <c r="AI56" s="304"/>
      <c r="AJ56" s="304"/>
      <c r="AK56" s="304"/>
      <c r="AL56" s="304"/>
      <c r="AM56" s="304"/>
      <c r="AN56" s="304"/>
      <c r="AO56" s="304"/>
      <c r="AR56" s="880"/>
      <c r="BM56" s="1" t="s">
        <v>312</v>
      </c>
      <c r="BN56" s="1" t="s">
        <v>250</v>
      </c>
      <c r="CA56"/>
      <c r="CB56"/>
      <c r="CK56" s="307" t="s">
        <v>3142</v>
      </c>
      <c r="CL56" t="s">
        <v>2681</v>
      </c>
    </row>
    <row r="57" spans="19:90" ht="16.350000000000001" customHeight="1">
      <c r="S57" s="876">
        <f>Ram_1!AR53</f>
        <v>0</v>
      </c>
      <c r="W57" s="865" t="str">
        <f>'Translate&amp;Prices&amp;Logo'!$O$547</f>
        <v>Zawiasy do podnośników</v>
      </c>
      <c r="X57" s="865"/>
      <c r="Y57" s="865"/>
      <c r="Z57" s="865"/>
      <c r="AA57" s="865"/>
      <c r="AB57" s="113"/>
      <c r="AC57" s="864">
        <f>IFERROR((VLOOKUP(Ram_2!$H$18,$CK$2:$CL$90,2,0)),Ram_2!$H$18)</f>
        <v>0</v>
      </c>
      <c r="AD57" s="864"/>
      <c r="AE57" s="864"/>
      <c r="AF57" s="864"/>
      <c r="AG57" s="864"/>
      <c r="AH57" s="864"/>
      <c r="AI57" s="864"/>
      <c r="AJ57" s="864"/>
      <c r="AK57" s="864"/>
      <c r="AL57" s="864"/>
      <c r="AM57" s="864"/>
      <c r="AN57" s="864"/>
      <c r="AO57" s="864"/>
      <c r="AR57" s="880"/>
      <c r="BM57" s="1" t="s">
        <v>313</v>
      </c>
      <c r="BN57" s="1" t="s">
        <v>251</v>
      </c>
      <c r="CA57"/>
      <c r="CB57"/>
      <c r="CK57" s="307" t="s">
        <v>3143</v>
      </c>
      <c r="CL57" t="s">
        <v>3220</v>
      </c>
    </row>
    <row r="58" spans="19:90" ht="16.350000000000001" customHeight="1">
      <c r="S58" s="876">
        <f>Ram_1!AR54</f>
        <v>0</v>
      </c>
      <c r="W58" s="865" t="str">
        <f>'Translate&amp;Prices&amp;Logo'!$O$223</f>
        <v>Ilość zawiasów na 1 ramkę</v>
      </c>
      <c r="X58" s="865"/>
      <c r="Y58" s="865"/>
      <c r="Z58" s="865"/>
      <c r="AA58" s="865"/>
      <c r="AB58" s="113"/>
      <c r="AC58" s="864">
        <f>Ram_2!$H$19</f>
        <v>0</v>
      </c>
      <c r="AD58" s="864"/>
      <c r="AE58" s="864"/>
      <c r="AF58" s="864"/>
      <c r="AG58" s="864"/>
      <c r="AH58" s="864"/>
      <c r="AI58" s="864"/>
      <c r="AJ58" s="864"/>
      <c r="AK58" s="864"/>
      <c r="AL58" s="864"/>
      <c r="AM58" s="864"/>
      <c r="AN58" s="864"/>
      <c r="AO58" s="864"/>
      <c r="AR58" s="880"/>
      <c r="BM58" s="1" t="s">
        <v>1475</v>
      </c>
      <c r="BN58" s="1" t="s">
        <v>1239</v>
      </c>
      <c r="CA58"/>
      <c r="CB58"/>
      <c r="CK58" s="307" t="s">
        <v>3144</v>
      </c>
      <c r="CL58" t="s">
        <v>3119</v>
      </c>
    </row>
    <row r="59" spans="19:90" ht="16.350000000000001" customHeight="1">
      <c r="S59" s="877" t="str">
        <f>'Translate&amp;Prices&amp;Logo'!$O$176</f>
        <v>Wysokość</v>
      </c>
      <c r="W59" s="865" t="e">
        <f>'Translate&amp;Prices&amp;Logo'!$O$242&amp;" "&amp;VLOOKUP(Ram_2!H17,kombinace_1!$BY$32:$CC$35,5,0)</f>
        <v>#N/A</v>
      </c>
      <c r="X59" s="865"/>
      <c r="Y59" s="865"/>
      <c r="Z59" s="865"/>
      <c r="AA59" s="865"/>
      <c r="AB59" s="304"/>
      <c r="AC59" s="864">
        <f>Ram_2!$F$20</f>
        <v>100</v>
      </c>
      <c r="AD59" s="864"/>
      <c r="AE59" s="864"/>
      <c r="AF59" s="864"/>
      <c r="AG59" s="865" t="e">
        <f>'Translate&amp;Prices&amp;Logo'!$O$242&amp;" "&amp;VLOOKUP(Ram_2!H17,kombinace_1!$BY$32:$CD$35,6,0)</f>
        <v>#N/A</v>
      </c>
      <c r="AH59" s="865"/>
      <c r="AI59" s="865"/>
      <c r="AJ59" s="865"/>
      <c r="AK59" s="865"/>
      <c r="AL59" s="864">
        <f>Ram_2!$N$20</f>
        <v>100</v>
      </c>
      <c r="AM59" s="864"/>
      <c r="AN59" s="864"/>
      <c r="AO59" s="864"/>
      <c r="AR59" s="880"/>
      <c r="BM59" s="1" t="s">
        <v>1002</v>
      </c>
      <c r="BN59" s="1" t="s">
        <v>1424</v>
      </c>
      <c r="CA59"/>
      <c r="CB59"/>
      <c r="CK59" s="307" t="s">
        <v>3145</v>
      </c>
      <c r="CL59" t="s">
        <v>3221</v>
      </c>
    </row>
    <row r="60" spans="19:90" ht="16.350000000000001" customHeight="1">
      <c r="S60" s="877">
        <f>Ram_1!AR56</f>
        <v>0</v>
      </c>
      <c r="W60" s="308" t="str">
        <f>'Translate&amp;Prices&amp;Logo'!$O$653</f>
        <v>Wypełnienie z siatki</v>
      </c>
      <c r="X60" s="183"/>
      <c r="Y60" s="183"/>
      <c r="Z60" s="183"/>
      <c r="AA60" s="183"/>
      <c r="AB60" s="113"/>
      <c r="AC60" s="863" t="str">
        <f>IF(kombinace_2!FC2=TRUE,"Tak","Nie")</f>
        <v>Nie</v>
      </c>
      <c r="AD60" s="863"/>
      <c r="AE60" s="863"/>
      <c r="AF60" s="863"/>
      <c r="AG60" s="863"/>
      <c r="AH60" s="863"/>
      <c r="AI60" s="863"/>
      <c r="AJ60" s="863"/>
      <c r="AK60" s="863"/>
      <c r="AL60" s="863"/>
      <c r="AM60" s="863"/>
      <c r="AN60" s="863"/>
      <c r="AO60" s="863"/>
      <c r="AR60" s="880"/>
      <c r="BM60" s="1" t="s">
        <v>993</v>
      </c>
      <c r="BN60" s="1" t="s">
        <v>250</v>
      </c>
      <c r="CA60"/>
      <c r="CB60"/>
      <c r="CK60" s="307" t="s">
        <v>3146</v>
      </c>
      <c r="CL60" t="s">
        <v>3222</v>
      </c>
    </row>
    <row r="61" spans="19:90" ht="16.350000000000001" customHeight="1">
      <c r="S61" s="877">
        <f>Ram_1!AR57</f>
        <v>0</v>
      </c>
      <c r="W61" s="865" t="str">
        <f>'Translate&amp;Prices&amp;Logo'!$O$173</f>
        <v>Rodzaj szkła</v>
      </c>
      <c r="X61" s="865"/>
      <c r="Y61" s="865"/>
      <c r="Z61" s="865"/>
      <c r="AA61" s="865"/>
      <c r="AB61" s="113"/>
      <c r="AC61" s="864" t="str">
        <f>IFERROR(VLOOKUP(kombinace_2!$V$1,BX48:BY50,2,0),0)</f>
        <v>Bez modyfikacji</v>
      </c>
      <c r="AD61" s="864"/>
      <c r="AE61" s="864"/>
      <c r="AF61" s="864"/>
      <c r="AG61" s="864"/>
      <c r="AH61" s="864"/>
      <c r="AI61" s="864"/>
      <c r="AJ61" s="864"/>
      <c r="AK61" s="864"/>
      <c r="AL61" s="864"/>
      <c r="AM61" s="864"/>
      <c r="AN61" s="864"/>
      <c r="AO61" s="864"/>
      <c r="AR61" s="880"/>
      <c r="BM61" s="1" t="s">
        <v>994</v>
      </c>
      <c r="BN61" s="1" t="s">
        <v>251</v>
      </c>
      <c r="CA61"/>
      <c r="CB61"/>
      <c r="CK61" s="307" t="s">
        <v>3147</v>
      </c>
      <c r="CL61" t="s">
        <v>3120</v>
      </c>
    </row>
    <row r="62" spans="19:90" ht="16.350000000000001" customHeight="1">
      <c r="S62" s="877">
        <f>Ram_1!AR58</f>
        <v>0</v>
      </c>
      <c r="W62" s="865" t="str">
        <f>'Translate&amp;Prices&amp;Logo'!$O$562</f>
        <v>Rodzaj folii</v>
      </c>
      <c r="X62" s="865"/>
      <c r="Y62" s="865"/>
      <c r="Z62" s="865"/>
      <c r="AA62" s="865"/>
      <c r="AB62" s="113"/>
      <c r="AC62" s="864">
        <f>IFERROR(VLOOKUP(Ram_2!$H$24,CA12:CB29,2,0),0)</f>
        <v>0</v>
      </c>
      <c r="AD62" s="864"/>
      <c r="AE62" s="864"/>
      <c r="AF62" s="864"/>
      <c r="AG62" s="864"/>
      <c r="AH62" s="864"/>
      <c r="AI62" s="864"/>
      <c r="AJ62" s="864"/>
      <c r="AK62" s="864"/>
      <c r="AL62" s="864"/>
      <c r="AM62" s="864"/>
      <c r="AN62" s="864"/>
      <c r="AO62" s="864"/>
      <c r="AR62" s="880"/>
      <c r="BM62" s="390" t="s">
        <v>4061</v>
      </c>
      <c r="BN62" s="1" t="s">
        <v>1239</v>
      </c>
      <c r="CA62"/>
      <c r="CB62"/>
      <c r="CK62" s="307" t="s">
        <v>3148</v>
      </c>
      <c r="CL62" t="s">
        <v>3121</v>
      </c>
    </row>
    <row r="63" spans="19:90" ht="16.350000000000001" customHeight="1" thickBot="1">
      <c r="S63" s="878">
        <f>Ram_1!AR59</f>
        <v>0</v>
      </c>
      <c r="W63" s="865" t="str">
        <f>'Translate&amp;Prices&amp;Logo'!$O$173</f>
        <v>Rodzaj szkła</v>
      </c>
      <c r="X63" s="865"/>
      <c r="Y63" s="865"/>
      <c r="Z63" s="865"/>
      <c r="AA63" s="865"/>
      <c r="AB63" s="113"/>
      <c r="AC63" s="864">
        <f>IFERROR(VLOOKUP(Ram_2!$H$25,'Translate&amp;Prices&amp;Logo'!$AH$1:$AI$165,2,0),Ram_2!$H$25)</f>
        <v>0</v>
      </c>
      <c r="AD63" s="864"/>
      <c r="AE63" s="864"/>
      <c r="AF63" s="864"/>
      <c r="AG63" s="864"/>
      <c r="AH63" s="864"/>
      <c r="AI63" s="864"/>
      <c r="AJ63" s="864"/>
      <c r="AK63" s="864"/>
      <c r="AL63" s="864"/>
      <c r="AM63" s="864"/>
      <c r="AN63" s="864"/>
      <c r="AO63" s="864"/>
      <c r="AR63" s="880"/>
      <c r="BM63" s="390" t="s">
        <v>4062</v>
      </c>
      <c r="BN63" s="1" t="s">
        <v>1424</v>
      </c>
      <c r="CK63" s="67" t="s">
        <v>4532</v>
      </c>
      <c r="CL63" t="s">
        <v>4530</v>
      </c>
    </row>
    <row r="64" spans="19:90" ht="16.350000000000001" customHeight="1">
      <c r="W64" s="865" t="str">
        <f>'Translate&amp;Prices&amp;Logo'!$O$549</f>
        <v>Rozstaw uchwytu (mm)</v>
      </c>
      <c r="X64" s="865"/>
      <c r="Y64" s="865"/>
      <c r="Z64" s="865"/>
      <c r="AA64" s="865"/>
      <c r="AB64" s="113"/>
      <c r="AC64" s="864">
        <f>Ram_2!$H$26</f>
        <v>0</v>
      </c>
      <c r="AD64" s="864"/>
      <c r="AE64" s="864"/>
      <c r="AF64" s="864"/>
      <c r="AG64" s="864"/>
      <c r="AH64" s="864"/>
      <c r="AI64" s="864"/>
      <c r="AJ64" s="864"/>
      <c r="AK64" s="864"/>
      <c r="AL64" s="864"/>
      <c r="AM64" s="864"/>
      <c r="AN64" s="864"/>
      <c r="AO64" s="864"/>
      <c r="AR64" s="880"/>
      <c r="BM64" s="390" t="s">
        <v>4063</v>
      </c>
      <c r="BN64" s="1" t="s">
        <v>250</v>
      </c>
      <c r="CK64" s="1" t="s">
        <v>2677</v>
      </c>
      <c r="CL64" t="s">
        <v>3421</v>
      </c>
    </row>
    <row r="65" spans="1:94" ht="16.350000000000001" customHeight="1">
      <c r="W65" s="865" t="str">
        <f>'Translate&amp;Prices&amp;Logo'!$O$550</f>
        <v>Umieszczenie uchwytu</v>
      </c>
      <c r="X65" s="865"/>
      <c r="Y65" s="865"/>
      <c r="Z65" s="865"/>
      <c r="AA65" s="865"/>
      <c r="AB65" s="113"/>
      <c r="AC65" s="864">
        <f>IFERROR(VLOOKUP(Ram_2!$H$27,BM62:BN65,2,0),0)</f>
        <v>0</v>
      </c>
      <c r="AD65" s="864"/>
      <c r="AE65" s="864"/>
      <c r="AF65" s="864"/>
      <c r="AG65" s="864"/>
      <c r="AH65" s="864"/>
      <c r="AI65" s="864"/>
      <c r="AJ65" s="864"/>
      <c r="AK65" s="864"/>
      <c r="AL65" s="864"/>
      <c r="AM65" s="864"/>
      <c r="AN65" s="864"/>
      <c r="AO65" s="864"/>
      <c r="AR65" s="880"/>
      <c r="BM65" s="390" t="s">
        <v>4064</v>
      </c>
      <c r="BN65" s="1" t="s">
        <v>251</v>
      </c>
      <c r="CK65" t="s">
        <v>2680</v>
      </c>
      <c r="CL65" t="s">
        <v>3420</v>
      </c>
    </row>
    <row r="66" spans="1:94" ht="16.350000000000001" customHeight="1">
      <c r="W66" s="865" t="str">
        <f>('Translate&amp;Prices&amp;Logo'!$O$174)&amp;" "&amp;"-"&amp;" "&amp;('Translate&amp;Prices&amp;Logo'!$O$169)&amp;" "&amp;" "&amp;2</f>
        <v>Ilość sztuk - Ramka  2</v>
      </c>
      <c r="X66" s="865"/>
      <c r="Y66" s="865"/>
      <c r="Z66" s="865"/>
      <c r="AA66" s="865"/>
      <c r="AB66" s="113"/>
      <c r="AC66" s="864">
        <f>Ram_2!$H$28</f>
        <v>0</v>
      </c>
      <c r="AD66" s="864"/>
      <c r="AE66" s="864"/>
      <c r="AF66" s="864"/>
      <c r="AG66" s="864"/>
      <c r="AH66" s="864"/>
      <c r="AI66" s="864"/>
      <c r="AJ66" s="864"/>
      <c r="AK66" s="864"/>
      <c r="AL66" s="864"/>
      <c r="AM66" s="864"/>
      <c r="AN66" s="864"/>
      <c r="AO66" s="864"/>
      <c r="AR66" s="880"/>
      <c r="BM66" s="233" t="s">
        <v>105</v>
      </c>
      <c r="BN66" s="191" t="s">
        <v>252</v>
      </c>
      <c r="CK66" t="s">
        <v>4511</v>
      </c>
      <c r="CL66" t="s">
        <v>4530</v>
      </c>
    </row>
    <row r="67" spans="1:94" ht="16.350000000000001" customHeight="1">
      <c r="AE67" s="1"/>
      <c r="AF67" s="1"/>
      <c r="AR67" s="880"/>
      <c r="BM67" s="191" t="s">
        <v>191</v>
      </c>
      <c r="BN67" s="191" t="s">
        <v>252</v>
      </c>
      <c r="CK67" t="s">
        <v>4512</v>
      </c>
      <c r="CL67" t="s">
        <v>4531</v>
      </c>
    </row>
    <row r="68" spans="1:94" ht="14.85" customHeight="1">
      <c r="AR68" s="880"/>
      <c r="BM68" s="191" t="s">
        <v>314</v>
      </c>
      <c r="BN68" s="191" t="s">
        <v>252</v>
      </c>
      <c r="BS68" s="191" t="s">
        <v>2428</v>
      </c>
      <c r="BT68" s="191" t="s">
        <v>2432</v>
      </c>
      <c r="CK68" t="s">
        <v>4513</v>
      </c>
      <c r="CL68" t="s">
        <v>4534</v>
      </c>
    </row>
    <row r="69" spans="1:94" ht="14.85" customHeight="1">
      <c r="W69" s="870" t="s">
        <v>1725</v>
      </c>
      <c r="X69" s="870"/>
      <c r="Y69" s="870"/>
      <c r="Z69" s="870"/>
      <c r="AE69" s="870" t="s">
        <v>1726</v>
      </c>
      <c r="AF69" s="870"/>
      <c r="AG69" s="870"/>
      <c r="AH69" s="870"/>
      <c r="AR69" s="880"/>
      <c r="BM69" s="191" t="s">
        <v>995</v>
      </c>
      <c r="BN69" s="191" t="s">
        <v>252</v>
      </c>
      <c r="BS69" s="191" t="s">
        <v>2429</v>
      </c>
      <c r="BT69" s="191" t="s">
        <v>2433</v>
      </c>
      <c r="CK69" t="s">
        <v>4514</v>
      </c>
      <c r="CL69" t="s">
        <v>4535</v>
      </c>
    </row>
    <row r="70" spans="1:94" ht="14.85" customHeight="1">
      <c r="AE70" s="882"/>
      <c r="AF70" s="883"/>
      <c r="AG70" s="883"/>
      <c r="AH70" s="883"/>
      <c r="AI70" s="883"/>
      <c r="AJ70" s="883"/>
      <c r="AK70" s="883"/>
      <c r="AL70" s="883"/>
      <c r="AM70" s="883"/>
      <c r="AN70" s="884"/>
      <c r="AR70" s="880"/>
      <c r="BM70" s="1" t="s">
        <v>4065</v>
      </c>
      <c r="BN70" s="191" t="s">
        <v>252</v>
      </c>
      <c r="BS70" s="191" t="s">
        <v>2430</v>
      </c>
      <c r="BT70" s="191" t="s">
        <v>2434</v>
      </c>
      <c r="CK70" t="s">
        <v>4515</v>
      </c>
      <c r="CL70" t="s">
        <v>4536</v>
      </c>
    </row>
    <row r="71" spans="1:94" ht="14.85" customHeight="1">
      <c r="AE71" s="885"/>
      <c r="AF71" s="886"/>
      <c r="AG71" s="886"/>
      <c r="AH71" s="886"/>
      <c r="AI71" s="886"/>
      <c r="AJ71" s="886"/>
      <c r="AK71" s="886"/>
      <c r="AL71" s="886"/>
      <c r="AM71" s="886"/>
      <c r="AN71" s="887"/>
      <c r="AR71" s="880"/>
      <c r="BM71" s="1" t="s">
        <v>252</v>
      </c>
      <c r="BN71" s="1" t="s">
        <v>252</v>
      </c>
      <c r="BS71" s="191" t="s">
        <v>2431</v>
      </c>
      <c r="BT71" s="191" t="s">
        <v>2435</v>
      </c>
      <c r="CK71" t="s">
        <v>4516</v>
      </c>
      <c r="CL71" t="s">
        <v>4537</v>
      </c>
    </row>
    <row r="72" spans="1:94" ht="14.85" customHeight="1">
      <c r="AE72" s="885"/>
      <c r="AF72" s="886"/>
      <c r="AG72" s="886"/>
      <c r="AH72" s="886"/>
      <c r="AI72" s="886"/>
      <c r="AJ72" s="886"/>
      <c r="AK72" s="886"/>
      <c r="AL72" s="886"/>
      <c r="AM72" s="886"/>
      <c r="AN72" s="887"/>
      <c r="AR72" s="880"/>
      <c r="BS72" s="233" t="s">
        <v>105</v>
      </c>
      <c r="BT72" s="191" t="s">
        <v>252</v>
      </c>
      <c r="CK72" t="s">
        <v>4517</v>
      </c>
      <c r="CL72" t="s">
        <v>4538</v>
      </c>
    </row>
    <row r="73" spans="1:94" ht="14.85" customHeight="1">
      <c r="D73" s="894">
        <f>IF(OR(Ram_2!$AC$25="x",Ram_2!$AJ$26="x",Ram_2!$AC$9="x",Ram_2!$AJ$7="x",Ram_2!$AB$16="x",Ram_2!$AM$23="x",Ram_2!$AN$19="x",Ram_2!$AD$10="x"),'Translate&amp;Prices&amp;Logo'!$B$588,0)</f>
        <v>0</v>
      </c>
      <c r="E73" s="894"/>
      <c r="F73" s="894"/>
      <c r="G73" s="894"/>
      <c r="H73" s="894"/>
      <c r="I73" s="894"/>
      <c r="J73" s="894"/>
      <c r="K73" s="894"/>
      <c r="L73" s="894"/>
      <c r="M73" s="894"/>
      <c r="N73" s="894"/>
      <c r="O73" s="894"/>
      <c r="P73" s="894"/>
      <c r="AE73" s="885"/>
      <c r="AF73" s="886"/>
      <c r="AG73" s="886"/>
      <c r="AH73" s="886"/>
      <c r="AI73" s="886"/>
      <c r="AJ73" s="886"/>
      <c r="AK73" s="886"/>
      <c r="AL73" s="886"/>
      <c r="AM73" s="886"/>
      <c r="AN73" s="887"/>
      <c r="AR73" s="880"/>
      <c r="BS73" s="191" t="s">
        <v>191</v>
      </c>
      <c r="BT73" s="191" t="s">
        <v>252</v>
      </c>
      <c r="CK73" t="s">
        <v>4349</v>
      </c>
      <c r="CL73" t="s">
        <v>2676</v>
      </c>
      <c r="CP73"/>
    </row>
    <row r="74" spans="1:94" ht="14.85" customHeight="1">
      <c r="AE74" s="885"/>
      <c r="AF74" s="886"/>
      <c r="AG74" s="886"/>
      <c r="AH74" s="886"/>
      <c r="AI74" s="886"/>
      <c r="AJ74" s="886"/>
      <c r="AK74" s="886"/>
      <c r="AL74" s="886"/>
      <c r="AM74" s="886"/>
      <c r="AN74" s="887"/>
      <c r="AR74" s="880"/>
      <c r="BS74" s="191" t="s">
        <v>314</v>
      </c>
      <c r="BT74" s="191" t="s">
        <v>252</v>
      </c>
      <c r="CK74" t="s">
        <v>4518</v>
      </c>
      <c r="CL74" t="s">
        <v>3116</v>
      </c>
    </row>
    <row r="75" spans="1:94" ht="14.85" customHeight="1" thickBot="1">
      <c r="AE75" s="885"/>
      <c r="AF75" s="886"/>
      <c r="AG75" s="886"/>
      <c r="AH75" s="886"/>
      <c r="AI75" s="886"/>
      <c r="AJ75" s="886"/>
      <c r="AK75" s="886"/>
      <c r="AL75" s="886"/>
      <c r="AM75" s="886"/>
      <c r="AN75" s="887"/>
      <c r="AR75" s="880"/>
      <c r="BS75" s="191" t="s">
        <v>995</v>
      </c>
      <c r="BT75" s="191" t="s">
        <v>252</v>
      </c>
      <c r="CK75" t="s">
        <v>4352</v>
      </c>
      <c r="CL75" t="s">
        <v>2677</v>
      </c>
    </row>
    <row r="76" spans="1:94" ht="14.85" customHeight="1" thickBot="1">
      <c r="G76" s="871" t="str">
        <f>'Translate&amp;Prices&amp;Logo'!$O$175</f>
        <v>Szerokość</v>
      </c>
      <c r="H76" s="872">
        <f>Ram_1!AG66</f>
        <v>0</v>
      </c>
      <c r="I76" s="872">
        <f>Ram_1!AH66</f>
        <v>0</v>
      </c>
      <c r="J76" s="873">
        <f>Ram_2!AI30</f>
        <v>0</v>
      </c>
      <c r="K76" s="873">
        <f>Ram_1!AJ66</f>
        <v>0</v>
      </c>
      <c r="L76" s="874">
        <f>Ram_1!AK66</f>
        <v>0</v>
      </c>
      <c r="AE76" s="885"/>
      <c r="AF76" s="886"/>
      <c r="AG76" s="886"/>
      <c r="AH76" s="886"/>
      <c r="AI76" s="886"/>
      <c r="AJ76" s="886"/>
      <c r="AK76" s="886"/>
      <c r="AL76" s="886"/>
      <c r="AM76" s="886"/>
      <c r="AN76" s="887"/>
      <c r="AR76" s="880"/>
      <c r="CK76" t="s">
        <v>4354</v>
      </c>
      <c r="CL76" t="s">
        <v>2678</v>
      </c>
    </row>
    <row r="77" spans="1:94" ht="21" customHeight="1">
      <c r="AE77" s="888"/>
      <c r="AF77" s="889"/>
      <c r="AG77" s="889"/>
      <c r="AH77" s="889"/>
      <c r="AI77" s="889"/>
      <c r="AJ77" s="889"/>
      <c r="AK77" s="889"/>
      <c r="AL77" s="889"/>
      <c r="AM77" s="889"/>
      <c r="AN77" s="890"/>
      <c r="AR77" s="880"/>
      <c r="CK77" t="s">
        <v>4519</v>
      </c>
      <c r="CL77" t="s">
        <v>3119</v>
      </c>
    </row>
    <row r="78" spans="1:94" ht="14.85" customHeight="1">
      <c r="AR78" s="880"/>
      <c r="CK78" t="s">
        <v>4520</v>
      </c>
      <c r="CL78" t="s">
        <v>3120</v>
      </c>
    </row>
    <row r="79" spans="1:94" ht="14.85" customHeight="1">
      <c r="AR79" s="880"/>
      <c r="CK79" t="s">
        <v>4353</v>
      </c>
      <c r="CL79" t="s">
        <v>2679</v>
      </c>
    </row>
    <row r="80" spans="1:94"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181"/>
      <c r="AF80" s="182"/>
      <c r="AG80" s="30"/>
      <c r="AH80" s="30"/>
      <c r="AI80" s="30"/>
      <c r="AJ80" s="30"/>
      <c r="AK80" s="30"/>
      <c r="AL80" s="30"/>
      <c r="AM80" s="30"/>
      <c r="AN80" s="30"/>
      <c r="AO80" s="30"/>
      <c r="AP80" s="30"/>
      <c r="AQ80" s="30"/>
      <c r="AR80" s="30"/>
      <c r="CK80" t="s">
        <v>4521</v>
      </c>
      <c r="CL80" t="s">
        <v>3117</v>
      </c>
    </row>
    <row r="81" spans="10:90" ht="35.1" customHeight="1" thickBot="1">
      <c r="J81" s="178"/>
      <c r="K81" s="178"/>
      <c r="L81" s="178"/>
      <c r="M81" s="178"/>
      <c r="N81" s="178"/>
      <c r="O81" s="178"/>
      <c r="P81" s="178"/>
      <c r="Q81" s="178"/>
      <c r="R81" s="178"/>
      <c r="S81" s="178"/>
      <c r="T81" s="178"/>
      <c r="U81" s="178"/>
      <c r="V81" s="178"/>
      <c r="W81" s="869" t="str">
        <f>'Translate&amp;Prices&amp;Logo'!$O$256</f>
        <v>Numer zamówienia</v>
      </c>
      <c r="X81" s="869"/>
      <c r="Y81" s="869"/>
      <c r="Z81" s="869"/>
      <c r="AA81" s="869"/>
      <c r="AB81" s="113"/>
      <c r="AC81" s="866"/>
      <c r="AD81" s="867"/>
      <c r="AE81" s="867"/>
      <c r="AF81" s="867"/>
      <c r="AG81" s="867"/>
      <c r="AH81" s="867"/>
      <c r="AI81" s="867"/>
      <c r="AJ81" s="867"/>
      <c r="AK81" s="867"/>
      <c r="AL81" s="867"/>
      <c r="AM81" s="867"/>
      <c r="AN81" s="867"/>
      <c r="AO81" s="868"/>
      <c r="AR81" s="880" t="s">
        <v>1729</v>
      </c>
      <c r="CK81" t="s">
        <v>4355</v>
      </c>
      <c r="CL81" t="s">
        <v>2680</v>
      </c>
    </row>
    <row r="82" spans="10:90" ht="16.350000000000001" customHeight="1">
      <c r="W82" s="865" t="str">
        <f>'Translate&amp;Prices&amp;Logo'!$O$542</f>
        <v>Połączenie 2 profili</v>
      </c>
      <c r="X82" s="865"/>
      <c r="Y82" s="865"/>
      <c r="Z82" s="865"/>
      <c r="AA82" s="865"/>
      <c r="AB82" s="113"/>
      <c r="AC82" s="879" t="str">
        <f>IF(kombinace_3!$H$1=TRUE,"Tak","Nie")</f>
        <v>Nie</v>
      </c>
      <c r="AD82" s="879"/>
      <c r="AE82" s="879"/>
      <c r="AF82" s="879"/>
      <c r="AG82" s="879"/>
      <c r="AH82" s="879"/>
      <c r="AI82" s="879"/>
      <c r="AJ82" s="879"/>
      <c r="AK82" s="879"/>
      <c r="AL82" s="879"/>
      <c r="AM82" s="879"/>
      <c r="AN82" s="879"/>
      <c r="AO82" s="879"/>
      <c r="AR82" s="880"/>
      <c r="CK82" t="s">
        <v>4522</v>
      </c>
      <c r="CL82" t="s">
        <v>3118</v>
      </c>
    </row>
    <row r="83" spans="10:90" ht="16.350000000000001" customHeight="1">
      <c r="W83" s="865" t="str">
        <f>'Translate&amp;Prices&amp;Logo'!$O$172</f>
        <v>Rodzaj profilu</v>
      </c>
      <c r="X83" s="865"/>
      <c r="Y83" s="865"/>
      <c r="Z83" s="865"/>
      <c r="AA83" s="865"/>
      <c r="AB83" s="113"/>
      <c r="AC83" s="864">
        <f>IFERROR(VLOOKUP(Ram_3!$H$8,'Translate&amp;Prices&amp;Logo'!AA1:AB282,2,0),Ram_3!$H$8)</f>
        <v>0</v>
      </c>
      <c r="AD83" s="864"/>
      <c r="AE83" s="864"/>
      <c r="AF83" s="864"/>
      <c r="AG83" s="864"/>
      <c r="AH83" s="864"/>
      <c r="AI83" s="864"/>
      <c r="AJ83" s="864"/>
      <c r="AK83" s="864"/>
      <c r="AL83" s="864"/>
      <c r="AM83" s="864"/>
      <c r="AN83" s="864"/>
      <c r="AO83" s="864"/>
      <c r="AR83" s="880"/>
      <c r="CK83" t="s">
        <v>4357</v>
      </c>
      <c r="CL83" t="s">
        <v>2681</v>
      </c>
    </row>
    <row r="84" spans="10:90" ht="16.350000000000001" customHeight="1">
      <c r="W84" s="865" t="str">
        <f>'Translate&amp;Prices&amp;Logo'!$O$543</f>
        <v>Szprosy</v>
      </c>
      <c r="X84" s="865"/>
      <c r="Y84" s="865"/>
      <c r="Z84" s="865"/>
      <c r="AA84" s="865"/>
      <c r="AB84" s="113"/>
      <c r="AC84" s="864" t="str">
        <f>IFERROR(VLOOKUP(Ram_3!$AU$10,AU84:AV87,2,0),0)</f>
        <v>Nie</v>
      </c>
      <c r="AD84" s="864"/>
      <c r="AE84" s="864"/>
      <c r="AF84" s="864"/>
      <c r="AG84" s="864"/>
      <c r="AH84" s="864"/>
      <c r="AI84" s="864"/>
      <c r="AJ84" s="864"/>
      <c r="AK84" s="864"/>
      <c r="AL84" s="864"/>
      <c r="AM84" s="864"/>
      <c r="AN84" s="864"/>
      <c r="AO84" s="864"/>
      <c r="AR84" s="880"/>
      <c r="AU84">
        <v>0</v>
      </c>
      <c r="AV84" t="str">
        <f>'Translate&amp;Prices&amp;Logo'!$O$557</f>
        <v>Nie</v>
      </c>
      <c r="AZ84">
        <v>2</v>
      </c>
      <c r="BA84" t="str">
        <f>'Translate&amp;Prices&amp;Logo'!$O$551</f>
        <v>Zawiasy</v>
      </c>
      <c r="BX84" s="1">
        <v>1</v>
      </c>
      <c r="BY84" s="1" t="str">
        <f>'Translate&amp;Prices&amp;Logo'!$O$100</f>
        <v>Bez modyfikacji</v>
      </c>
      <c r="CA84"/>
      <c r="CB84"/>
      <c r="CK84" t="s">
        <v>4523</v>
      </c>
      <c r="CL84" t="s">
        <v>3121</v>
      </c>
    </row>
    <row r="85" spans="10:90" ht="16.350000000000001" customHeight="1">
      <c r="W85" s="183"/>
      <c r="X85" s="183"/>
      <c r="Y85" s="183"/>
      <c r="Z85" s="183"/>
      <c r="AA85" s="183"/>
      <c r="AB85" s="113"/>
      <c r="AC85" s="881" t="str">
        <f>'Translate&amp;Prices&amp;Logo'!$O$558</f>
        <v>Poziomo (termin dostawy 4 tygodnie)</v>
      </c>
      <c r="AD85" s="881"/>
      <c r="AE85" s="881"/>
      <c r="AF85" s="881"/>
      <c r="AG85" s="881"/>
      <c r="AH85" s="881"/>
      <c r="AI85" s="881"/>
      <c r="AJ85" s="881" t="str">
        <f>'Translate&amp;Prices&amp;Logo'!$O$559</f>
        <v>Pionowo (termin dostawy 4 tygodnie)</v>
      </c>
      <c r="AK85" s="881"/>
      <c r="AL85" s="881"/>
      <c r="AM85" s="881"/>
      <c r="AN85" s="881"/>
      <c r="AO85" s="881"/>
      <c r="AR85" s="880"/>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4350</v>
      </c>
      <c r="CL85" t="s">
        <v>4533</v>
      </c>
    </row>
    <row r="86" spans="10:90" ht="16.350000000000001" customHeight="1">
      <c r="W86" s="865" t="str">
        <f>('Translate&amp;Prices&amp;Logo'!$O$543)&amp;" "&amp;"("&amp;'Translate&amp;Prices&amp;Logo'!$O$174&amp;")"</f>
        <v>Szprosy (Ilość sztuk)</v>
      </c>
      <c r="X86" s="865"/>
      <c r="Y86" s="865"/>
      <c r="Z86" s="865"/>
      <c r="AA86" s="865"/>
      <c r="AB86" s="113"/>
      <c r="AC86" s="864">
        <f>Ram_3!$H$11</f>
        <v>0</v>
      </c>
      <c r="AD86" s="864"/>
      <c r="AE86" s="864"/>
      <c r="AF86" s="864"/>
      <c r="AG86" s="864"/>
      <c r="AH86" s="864"/>
      <c r="AI86" s="864"/>
      <c r="AJ86" s="864">
        <f>Ram_3!$M$11</f>
        <v>0</v>
      </c>
      <c r="AK86" s="864"/>
      <c r="AL86" s="864"/>
      <c r="AM86" s="864"/>
      <c r="AN86" s="864"/>
      <c r="AO86" s="864"/>
      <c r="AR86" s="880"/>
      <c r="AU86">
        <v>2</v>
      </c>
      <c r="AV86" t="str">
        <f>'Translate&amp;Prices&amp;Logo'!$O$559</f>
        <v>Pionowo (termin dostawy 4 tygodnie)</v>
      </c>
      <c r="BX86" s="1">
        <v>3</v>
      </c>
      <c r="BY86" s="1" t="str">
        <f>'Translate&amp;Prices&amp;Logo'!$O$102</f>
        <v>Folia</v>
      </c>
      <c r="CA86"/>
      <c r="CB86"/>
      <c r="CK86" t="s">
        <v>4358</v>
      </c>
      <c r="CL86" t="s">
        <v>4539</v>
      </c>
    </row>
    <row r="87" spans="10:90" ht="16.350000000000001" customHeight="1">
      <c r="W87" s="865" t="str">
        <f>'Translate&amp;Prices&amp;Logo'!$O$258</f>
        <v>Typ okucia</v>
      </c>
      <c r="X87" s="865"/>
      <c r="Y87" s="865"/>
      <c r="Z87" s="865"/>
      <c r="AA87" s="865"/>
      <c r="AB87" s="113"/>
      <c r="AC87" s="864">
        <f>IFERROR(VLOOKUP(Ram_3!$AU$9,AZ84:BA85,2,0),0)</f>
        <v>0</v>
      </c>
      <c r="AD87" s="864"/>
      <c r="AE87" s="864"/>
      <c r="AF87" s="864"/>
      <c r="AG87" s="864"/>
      <c r="AH87" s="864"/>
      <c r="AI87" s="864"/>
      <c r="AJ87" s="864"/>
      <c r="AK87" s="864"/>
      <c r="AL87" s="864"/>
      <c r="AM87" s="864"/>
      <c r="AN87" s="864"/>
      <c r="AO87" s="864"/>
      <c r="AR87" s="880"/>
      <c r="AU87">
        <v>3</v>
      </c>
      <c r="AV87" t="str">
        <f>'Translate&amp;Prices&amp;Logo'!$O$560</f>
        <v>Poziomo i pionowo (termin dostawy 4 tygodnie)</v>
      </c>
      <c r="CA87"/>
      <c r="CB87"/>
      <c r="CK87" t="s">
        <v>4359</v>
      </c>
      <c r="CL87" t="s">
        <v>4540</v>
      </c>
    </row>
    <row r="88" spans="10:90" ht="16.350000000000001" customHeight="1">
      <c r="W88" s="865" t="str">
        <f>'Translate&amp;Prices&amp;Logo'!$O$544</f>
        <v>Marka okucia</v>
      </c>
      <c r="X88" s="865"/>
      <c r="Y88" s="865"/>
      <c r="Z88" s="865"/>
      <c r="AA88" s="865"/>
      <c r="AB88" s="113"/>
      <c r="AC88" s="864">
        <f>Ram_3!$H$13</f>
        <v>0</v>
      </c>
      <c r="AD88" s="864"/>
      <c r="AE88" s="864"/>
      <c r="AF88" s="864"/>
      <c r="AG88" s="864"/>
      <c r="AH88" s="864"/>
      <c r="AI88" s="864"/>
      <c r="AJ88" s="864"/>
      <c r="AK88" s="864"/>
      <c r="AL88" s="864"/>
      <c r="AM88" s="864"/>
      <c r="AN88" s="864"/>
      <c r="AO88" s="864"/>
      <c r="AR88" s="880"/>
      <c r="CA88"/>
      <c r="CB88"/>
      <c r="CK88" t="s">
        <v>4351</v>
      </c>
      <c r="CL88" t="s">
        <v>4533</v>
      </c>
    </row>
    <row r="89" spans="10:90" ht="16.350000000000001" customHeight="1" thickBot="1">
      <c r="W89" s="865" t="str">
        <f>'Translate&amp;Prices&amp;Logo'!$O$546</f>
        <v>Nałożenie</v>
      </c>
      <c r="X89" s="865"/>
      <c r="Y89" s="865"/>
      <c r="Z89" s="865"/>
      <c r="AA89" s="865"/>
      <c r="AB89" s="113"/>
      <c r="AC89" s="864">
        <f>IFERROR(VLOOKUP(Ram_3!$H$14,$BD$12:$BE$29,2,0),0)</f>
        <v>0</v>
      </c>
      <c r="AD89" s="864"/>
      <c r="AE89" s="864"/>
      <c r="AF89" s="864"/>
      <c r="AG89" s="864"/>
      <c r="AH89" s="864"/>
      <c r="AI89" s="864"/>
      <c r="AJ89" s="864"/>
      <c r="AK89" s="864"/>
      <c r="AL89" s="864"/>
      <c r="AM89" s="864"/>
      <c r="AN89" s="864"/>
      <c r="AO89" s="864"/>
      <c r="AR89" s="880"/>
      <c r="CA89"/>
      <c r="CB89"/>
      <c r="CK89" t="s">
        <v>4356</v>
      </c>
      <c r="CL89" t="s">
        <v>4541</v>
      </c>
    </row>
    <row r="90" spans="10:90" ht="16.350000000000001" customHeight="1">
      <c r="S90" s="875">
        <f>Ram_3!AR14</f>
        <v>0</v>
      </c>
      <c r="W90" s="865" t="str">
        <f>'Translate&amp;Prices&amp;Logo'!$O$545</f>
        <v>Wariant okucia</v>
      </c>
      <c r="X90" s="865"/>
      <c r="Y90" s="865"/>
      <c r="Z90" s="865"/>
      <c r="AA90" s="865"/>
      <c r="AB90" s="113"/>
      <c r="AC90" s="891">
        <f>IFERROR(VLOOKUP(Ram_3!$H$15,kombinace_1!$ED$2:$EE$760,2,0),Ram_3!$H$15)</f>
        <v>0</v>
      </c>
      <c r="AD90" s="891"/>
      <c r="AE90" s="891"/>
      <c r="AF90" s="891"/>
      <c r="AG90" s="891"/>
      <c r="AH90" s="891"/>
      <c r="AI90" s="891"/>
      <c r="AJ90" s="891" t="str">
        <f>IF(AC90='Translate&amp;Prices&amp;Logo'!C698,VLOOKUP(Ram_3!H17,'Translate&amp;Prices&amp;Logo'!C699:D746,2,0),"")</f>
        <v/>
      </c>
      <c r="AK90" s="891"/>
      <c r="AL90" s="891"/>
      <c r="AM90" s="891"/>
      <c r="AN90" s="891"/>
      <c r="AO90" s="891"/>
      <c r="AR90" s="880"/>
      <c r="CA90"/>
      <c r="CB90"/>
      <c r="CK90" t="s">
        <v>4360</v>
      </c>
      <c r="CL90" t="s">
        <v>4542</v>
      </c>
    </row>
    <row r="91" spans="10:90" ht="16.350000000000001" customHeight="1">
      <c r="S91" s="876">
        <f>Ram_1!AR87</f>
        <v>0</v>
      </c>
      <c r="W91" s="865" t="str">
        <f>'Translate&amp;Prices&amp;Logo'!$O$218</f>
        <v>Wybierz pozycję ramki</v>
      </c>
      <c r="X91" s="865"/>
      <c r="Y91" s="865"/>
      <c r="Z91" s="865"/>
      <c r="AA91" s="865"/>
      <c r="AB91" s="864">
        <f>IFERROR(VLOOKUP(Ram_3!$F$16,BI12:BJ23,2,0),0)</f>
        <v>0</v>
      </c>
      <c r="AC91" s="864"/>
      <c r="AD91" s="864"/>
      <c r="AE91" s="864"/>
      <c r="AF91" s="864"/>
      <c r="AG91" s="892" t="str">
        <f>'Translate&amp;Prices&amp;Logo'!$O$232</f>
        <v>Rodzaj drugiej ramki</v>
      </c>
      <c r="AH91" s="892"/>
      <c r="AI91" s="892"/>
      <c r="AJ91" s="308"/>
      <c r="AK91" s="864">
        <f>IFERROR(VLOOKUP(Ram_3!$N$16,BM12:BN41,2,0),0)</f>
        <v>0</v>
      </c>
      <c r="AL91" s="864"/>
      <c r="AM91" s="864"/>
      <c r="AN91" s="864"/>
      <c r="AO91" s="864"/>
      <c r="AR91" s="880"/>
      <c r="CA91"/>
      <c r="CB91"/>
      <c r="CL91"/>
    </row>
    <row r="92" spans="10:90" ht="16.350000000000001" customHeight="1">
      <c r="S92" s="876">
        <f>Ram_1!AR88</f>
        <v>0</v>
      </c>
      <c r="W92" s="865" t="str">
        <f>IF(AC87='Translate&amp;Prices&amp;Logo'!O551,'Translate&amp;Prices&amp;Logo'!O238,'Translate&amp;Prices&amp;Logo'!$O$226)</f>
        <v>Umieszczenie</v>
      </c>
      <c r="X92" s="865"/>
      <c r="Y92" s="865"/>
      <c r="Z92" s="865"/>
      <c r="AA92" s="865"/>
      <c r="AB92" s="113"/>
      <c r="AC92" s="864" t="str">
        <f>IFERROR((IF(Ram_3!H12='Translate&amp;Prices&amp;Logo'!B552,VLOOKUP(Ram_3!$N$16,BM42:BN71,2,0),VLOOKUP(Ram_3!$H$17,BM42:BN65,2,0))),"")</f>
        <v/>
      </c>
      <c r="AD92" s="864"/>
      <c r="AE92" s="864"/>
      <c r="AF92" s="864"/>
      <c r="AG92" s="864"/>
      <c r="AH92" s="864"/>
      <c r="AI92" s="864"/>
      <c r="AJ92" s="864"/>
      <c r="AK92" s="864"/>
      <c r="AL92" s="864"/>
      <c r="AM92" s="864"/>
      <c r="AN92" s="864"/>
      <c r="AO92" s="864"/>
      <c r="AR92" s="880"/>
      <c r="CA92"/>
      <c r="CB92"/>
      <c r="CL92"/>
    </row>
    <row r="93" spans="10:90" ht="16.350000000000001" customHeight="1">
      <c r="S93" s="876">
        <f>Ram_1!AR89</f>
        <v>0</v>
      </c>
      <c r="W93" s="865" t="str">
        <f>'Translate&amp;Prices&amp;Logo'!$O$547</f>
        <v>Zawiasy do podnośników</v>
      </c>
      <c r="X93" s="865"/>
      <c r="Y93" s="865"/>
      <c r="Z93" s="865"/>
      <c r="AA93" s="865"/>
      <c r="AB93" s="113"/>
      <c r="AC93" s="864">
        <f>IFERROR((VLOOKUP(Ram_3!$H$18,$CK$2:$CL$90,2,0)),Ram_3!$H$18)</f>
        <v>0</v>
      </c>
      <c r="AD93" s="864"/>
      <c r="AE93" s="864"/>
      <c r="AF93" s="864"/>
      <c r="AG93" s="864"/>
      <c r="AH93" s="864"/>
      <c r="AI93" s="864"/>
      <c r="AJ93" s="864"/>
      <c r="AK93" s="864"/>
      <c r="AL93" s="864"/>
      <c r="AM93" s="864"/>
      <c r="AN93" s="864"/>
      <c r="AO93" s="864"/>
      <c r="AR93" s="880"/>
      <c r="CA93"/>
      <c r="CB93"/>
      <c r="CL93"/>
    </row>
    <row r="94" spans="10:90" ht="16.350000000000001" customHeight="1">
      <c r="S94" s="876">
        <f>Ram_1!AR90</f>
        <v>0</v>
      </c>
      <c r="W94" s="865" t="str">
        <f>'Translate&amp;Prices&amp;Logo'!$O$223</f>
        <v>Ilość zawiasów na 1 ramkę</v>
      </c>
      <c r="X94" s="865"/>
      <c r="Y94" s="865"/>
      <c r="Z94" s="865"/>
      <c r="AA94" s="865"/>
      <c r="AB94" s="113"/>
      <c r="AC94" s="864">
        <f>Ram_3!$H$19</f>
        <v>0</v>
      </c>
      <c r="AD94" s="864"/>
      <c r="AE94" s="864"/>
      <c r="AF94" s="864"/>
      <c r="AG94" s="864"/>
      <c r="AH94" s="864"/>
      <c r="AI94" s="864"/>
      <c r="AJ94" s="864"/>
      <c r="AK94" s="864"/>
      <c r="AL94" s="864"/>
      <c r="AM94" s="864"/>
      <c r="AN94" s="864"/>
      <c r="AO94" s="864"/>
      <c r="AR94" s="880"/>
      <c r="CA94"/>
      <c r="CB94"/>
      <c r="CL94"/>
    </row>
    <row r="95" spans="10:90" ht="16.350000000000001" customHeight="1">
      <c r="S95" s="877" t="str">
        <f>'Translate&amp;Prices&amp;Logo'!$O$176</f>
        <v>Wysokość</v>
      </c>
      <c r="W95" s="865" t="str">
        <f>IFERROR(('Translate&amp;Prices&amp;Logo'!$O$242&amp;" "&amp;VLOOKUP(Ram_3!H17,kombinace_1!$BY$32:$CC$35,5,0)),"")</f>
        <v/>
      </c>
      <c r="X95" s="865"/>
      <c r="Y95" s="865"/>
      <c r="Z95" s="865"/>
      <c r="AA95" s="865"/>
      <c r="AB95" s="113"/>
      <c r="AC95" s="864">
        <f>Ram_3!$F$20</f>
        <v>100</v>
      </c>
      <c r="AD95" s="864"/>
      <c r="AE95" s="864"/>
      <c r="AF95" s="864"/>
      <c r="AG95" s="865" t="str">
        <f>IFERROR(('Translate&amp;Prices&amp;Logo'!$O$242&amp;" "&amp;VLOOKUP(Ram_3!H17,kombinace_1!$BY$32:$CD$35,6,0)),"")</f>
        <v/>
      </c>
      <c r="AH95" s="865"/>
      <c r="AI95" s="865"/>
      <c r="AJ95" s="865"/>
      <c r="AK95" s="865"/>
      <c r="AL95" s="864">
        <f>Ram_3!$N$20</f>
        <v>100</v>
      </c>
      <c r="AM95" s="864"/>
      <c r="AN95" s="864"/>
      <c r="AO95" s="864"/>
      <c r="AR95" s="880"/>
      <c r="CA95"/>
      <c r="CB95"/>
      <c r="CL95"/>
    </row>
    <row r="96" spans="10:90" ht="16.350000000000001" customHeight="1">
      <c r="S96" s="877">
        <f>Ram_1!AR92</f>
        <v>0</v>
      </c>
      <c r="W96" s="308" t="str">
        <f>'Translate&amp;Prices&amp;Logo'!$O$653</f>
        <v>Wypełnienie z siatki</v>
      </c>
      <c r="X96" s="183"/>
      <c r="Y96" s="183"/>
      <c r="Z96" s="183"/>
      <c r="AA96" s="183"/>
      <c r="AB96" s="113"/>
      <c r="AC96" s="863" t="str">
        <f>IF(kombinace_3!FC2=TRUE,"Tak","Nie")</f>
        <v>Nie</v>
      </c>
      <c r="AD96" s="863"/>
      <c r="AE96" s="863"/>
      <c r="AF96" s="863"/>
      <c r="AG96" s="863"/>
      <c r="AH96" s="863"/>
      <c r="AI96" s="863"/>
      <c r="AJ96" s="863"/>
      <c r="AK96" s="863"/>
      <c r="AL96" s="863"/>
      <c r="AM96" s="863"/>
      <c r="AN96" s="863"/>
      <c r="AO96" s="863"/>
      <c r="AR96" s="880"/>
      <c r="CA96"/>
      <c r="CB96"/>
      <c r="CL96"/>
    </row>
    <row r="97" spans="4:90" ht="16.350000000000001" customHeight="1">
      <c r="S97" s="877">
        <f>Ram_1!AR93</f>
        <v>0</v>
      </c>
      <c r="W97" s="865" t="str">
        <f>'Translate&amp;Prices&amp;Logo'!$O$173</f>
        <v>Rodzaj szkła</v>
      </c>
      <c r="X97" s="865"/>
      <c r="Y97" s="865"/>
      <c r="Z97" s="865"/>
      <c r="AA97" s="865"/>
      <c r="AB97" s="113"/>
      <c r="AC97" s="864" t="str">
        <f>IFERROR(VLOOKUP(kombinace_3!$V$1,BX84:BY86,2,0),0)</f>
        <v>Bez modyfikacji</v>
      </c>
      <c r="AD97" s="864"/>
      <c r="AE97" s="864"/>
      <c r="AF97" s="864"/>
      <c r="AG97" s="864"/>
      <c r="AH97" s="864"/>
      <c r="AI97" s="864"/>
      <c r="AJ97" s="864"/>
      <c r="AK97" s="864"/>
      <c r="AL97" s="864"/>
      <c r="AM97" s="864"/>
      <c r="AN97" s="864"/>
      <c r="AO97" s="864"/>
      <c r="AR97" s="880"/>
      <c r="CA97"/>
      <c r="CB97"/>
      <c r="CL97"/>
    </row>
    <row r="98" spans="4:90" ht="16.350000000000001" customHeight="1">
      <c r="S98" s="877">
        <f>Ram_1!AR94</f>
        <v>0</v>
      </c>
      <c r="W98" s="865" t="str">
        <f>'Translate&amp;Prices&amp;Logo'!$O$562</f>
        <v>Rodzaj folii</v>
      </c>
      <c r="X98" s="865"/>
      <c r="Y98" s="865"/>
      <c r="Z98" s="865"/>
      <c r="AA98" s="865"/>
      <c r="AB98" s="113"/>
      <c r="AC98" s="864">
        <f>IFERROR(VLOOKUP(Ram_3!$H$24,CA12:CB29,2,0),0)</f>
        <v>0</v>
      </c>
      <c r="AD98" s="864"/>
      <c r="AE98" s="864"/>
      <c r="AF98" s="864"/>
      <c r="AG98" s="864"/>
      <c r="AH98" s="864"/>
      <c r="AI98" s="864"/>
      <c r="AJ98" s="864"/>
      <c r="AK98" s="864"/>
      <c r="AL98" s="864"/>
      <c r="AM98" s="864"/>
      <c r="AN98" s="864"/>
      <c r="AO98" s="864"/>
      <c r="AR98" s="880"/>
      <c r="CA98"/>
      <c r="CB98"/>
      <c r="CL98"/>
    </row>
    <row r="99" spans="4:90" ht="16.350000000000001" customHeight="1" thickBot="1">
      <c r="S99" s="878">
        <f>Ram_1!AR95</f>
        <v>0</v>
      </c>
      <c r="W99" s="865" t="str">
        <f>'Translate&amp;Prices&amp;Logo'!$O$173</f>
        <v>Rodzaj szkła</v>
      </c>
      <c r="X99" s="865"/>
      <c r="Y99" s="865"/>
      <c r="Z99" s="865"/>
      <c r="AA99" s="865"/>
      <c r="AB99" s="113"/>
      <c r="AC99" s="864">
        <f>IFERROR(VLOOKUP(Ram_3!$H$25,'Translate&amp;Prices&amp;Logo'!$AH$1:$AI$165,2,0),Ram_3!$H$25)</f>
        <v>0</v>
      </c>
      <c r="AD99" s="864"/>
      <c r="AE99" s="864"/>
      <c r="AF99" s="864"/>
      <c r="AG99" s="864"/>
      <c r="AH99" s="864"/>
      <c r="AI99" s="864"/>
      <c r="AJ99" s="864"/>
      <c r="AK99" s="864"/>
      <c r="AL99" s="864"/>
      <c r="AM99" s="864"/>
      <c r="AN99" s="864"/>
      <c r="AO99" s="864"/>
      <c r="AR99" s="880"/>
      <c r="CL99"/>
    </row>
    <row r="100" spans="4:90" ht="16.350000000000001" customHeight="1">
      <c r="W100" s="865" t="str">
        <f>'Translate&amp;Prices&amp;Logo'!$O$549</f>
        <v>Rozstaw uchwytu (mm)</v>
      </c>
      <c r="X100" s="865"/>
      <c r="Y100" s="865"/>
      <c r="Z100" s="865"/>
      <c r="AA100" s="865"/>
      <c r="AB100" s="113"/>
      <c r="AC100" s="864">
        <f>Ram_3!$H$26</f>
        <v>0</v>
      </c>
      <c r="AD100" s="864"/>
      <c r="AE100" s="864"/>
      <c r="AF100" s="864"/>
      <c r="AG100" s="864"/>
      <c r="AH100" s="864"/>
      <c r="AI100" s="864"/>
      <c r="AJ100" s="864"/>
      <c r="AK100" s="864"/>
      <c r="AL100" s="864"/>
      <c r="AM100" s="864"/>
      <c r="AN100" s="864"/>
      <c r="AO100" s="864"/>
      <c r="AR100" s="880"/>
      <c r="CK100"/>
      <c r="CL100"/>
    </row>
    <row r="101" spans="4:90" ht="16.350000000000001" customHeight="1">
      <c r="W101" s="865" t="str">
        <f>'Translate&amp;Prices&amp;Logo'!$O$550</f>
        <v>Umieszczenie uchwytu</v>
      </c>
      <c r="X101" s="865"/>
      <c r="Y101" s="865"/>
      <c r="Z101" s="865"/>
      <c r="AA101" s="865"/>
      <c r="AB101" s="113"/>
      <c r="AC101" s="864">
        <f>IFERROR(VLOOKUP(Ram_3!$H$27,BM62:BN65,2,0),0)</f>
        <v>0</v>
      </c>
      <c r="AD101" s="864"/>
      <c r="AE101" s="864"/>
      <c r="AF101" s="864"/>
      <c r="AG101" s="864"/>
      <c r="AH101" s="864"/>
      <c r="AI101" s="864"/>
      <c r="AJ101" s="864"/>
      <c r="AK101" s="864"/>
      <c r="AL101" s="864"/>
      <c r="AM101" s="864"/>
      <c r="AN101" s="864"/>
      <c r="AO101" s="864"/>
      <c r="AR101" s="880"/>
      <c r="CK101"/>
      <c r="CL101"/>
    </row>
    <row r="102" spans="4:90" ht="16.350000000000001" customHeight="1">
      <c r="W102" s="865" t="str">
        <f>('Translate&amp;Prices&amp;Logo'!$O$174)&amp;" "&amp;"-"&amp;" "&amp;('Translate&amp;Prices&amp;Logo'!$O$169)&amp;" "&amp;" "&amp;3</f>
        <v>Ilość sztuk - Ramka  3</v>
      </c>
      <c r="X102" s="865"/>
      <c r="Y102" s="865"/>
      <c r="Z102" s="865"/>
      <c r="AA102" s="865"/>
      <c r="AB102" s="113"/>
      <c r="AC102" s="864">
        <f>Ram_3!$H$28</f>
        <v>0</v>
      </c>
      <c r="AD102" s="864"/>
      <c r="AE102" s="864"/>
      <c r="AF102" s="864"/>
      <c r="AG102" s="864"/>
      <c r="AH102" s="864"/>
      <c r="AI102" s="864"/>
      <c r="AJ102" s="864"/>
      <c r="AK102" s="864"/>
      <c r="AL102" s="864"/>
      <c r="AM102" s="864"/>
      <c r="AN102" s="864"/>
      <c r="AO102" s="864"/>
      <c r="AR102" s="880"/>
      <c r="CK102"/>
      <c r="CL102"/>
    </row>
    <row r="103" spans="4:90" ht="16.350000000000001" customHeight="1">
      <c r="AE103" s="1"/>
      <c r="AF103" s="1"/>
      <c r="AR103" s="880"/>
      <c r="CK103"/>
      <c r="CL103"/>
    </row>
    <row r="104" spans="4:90" ht="14.85" customHeight="1">
      <c r="AR104" s="880"/>
      <c r="BS104" s="191" t="s">
        <v>2436</v>
      </c>
      <c r="BT104" s="191" t="s">
        <v>2432</v>
      </c>
      <c r="CK104"/>
      <c r="CL104"/>
    </row>
    <row r="105" spans="4:90" ht="14.85" customHeight="1">
      <c r="W105" s="870" t="s">
        <v>1725</v>
      </c>
      <c r="X105" s="870"/>
      <c r="Y105" s="870"/>
      <c r="Z105" s="870"/>
      <c r="AE105" s="870" t="s">
        <v>1726</v>
      </c>
      <c r="AF105" s="870"/>
      <c r="AG105" s="870"/>
      <c r="AH105" s="870"/>
      <c r="AR105" s="880"/>
      <c r="BS105" s="191" t="s">
        <v>2437</v>
      </c>
      <c r="BT105" s="191" t="s">
        <v>2433</v>
      </c>
      <c r="CK105"/>
      <c r="CL105"/>
    </row>
    <row r="106" spans="4:90" ht="14.85" customHeight="1">
      <c r="AE106" s="882"/>
      <c r="AF106" s="883"/>
      <c r="AG106" s="883"/>
      <c r="AH106" s="883"/>
      <c r="AI106" s="883"/>
      <c r="AJ106" s="883"/>
      <c r="AK106" s="883"/>
      <c r="AL106" s="883"/>
      <c r="AM106" s="883"/>
      <c r="AN106" s="884"/>
      <c r="AR106" s="880"/>
      <c r="BS106" s="191" t="s">
        <v>2438</v>
      </c>
      <c r="BT106" s="191" t="s">
        <v>2434</v>
      </c>
      <c r="CK106"/>
      <c r="CL106"/>
    </row>
    <row r="107" spans="4:90" ht="14.85" customHeight="1">
      <c r="AE107" s="885"/>
      <c r="AF107" s="886"/>
      <c r="AG107" s="886"/>
      <c r="AH107" s="886"/>
      <c r="AI107" s="886"/>
      <c r="AJ107" s="886"/>
      <c r="AK107" s="886"/>
      <c r="AL107" s="886"/>
      <c r="AM107" s="886"/>
      <c r="AN107" s="887"/>
      <c r="AR107" s="880"/>
      <c r="BS107" s="191" t="s">
        <v>2439</v>
      </c>
      <c r="BT107" s="191" t="s">
        <v>2435</v>
      </c>
      <c r="CK107"/>
      <c r="CL107"/>
    </row>
    <row r="108" spans="4:90" ht="14.85" customHeight="1">
      <c r="AE108" s="885"/>
      <c r="AF108" s="886"/>
      <c r="AG108" s="886"/>
      <c r="AH108" s="886"/>
      <c r="AI108" s="886"/>
      <c r="AJ108" s="886"/>
      <c r="AK108" s="886"/>
      <c r="AL108" s="886"/>
      <c r="AM108" s="886"/>
      <c r="AN108" s="887"/>
      <c r="AR108" s="880"/>
      <c r="CK108"/>
      <c r="CL108"/>
    </row>
    <row r="109" spans="4:90" ht="14.85" customHeight="1">
      <c r="D109" s="894">
        <f>IF(OR(Ram_3!$AC$25="x",Ram_3!$AJ$26="x",Ram_3!$AC$9="x",Ram_3!$AJ$7="x",Ram_3!$AB$16="x",Ram_3!$AM$23="x",Ram_3!$AN$19="x",Ram_3!$AD$10="x"),'Translate&amp;Prices&amp;Logo'!$B$588,0)</f>
        <v>0</v>
      </c>
      <c r="E109" s="894"/>
      <c r="F109" s="894"/>
      <c r="G109" s="894"/>
      <c r="H109" s="894"/>
      <c r="I109" s="894"/>
      <c r="J109" s="894"/>
      <c r="K109" s="894"/>
      <c r="L109" s="894"/>
      <c r="M109" s="894"/>
      <c r="N109" s="894"/>
      <c r="O109" s="894"/>
      <c r="P109" s="894"/>
      <c r="AE109" s="885"/>
      <c r="AF109" s="886"/>
      <c r="AG109" s="886"/>
      <c r="AH109" s="886"/>
      <c r="AI109" s="886"/>
      <c r="AJ109" s="886"/>
      <c r="AK109" s="886"/>
      <c r="AL109" s="886"/>
      <c r="AM109" s="886"/>
      <c r="AN109" s="887"/>
      <c r="AR109" s="880"/>
      <c r="CK109"/>
      <c r="CL109"/>
    </row>
    <row r="110" spans="4:90" ht="14.85" customHeight="1">
      <c r="AE110" s="885"/>
      <c r="AF110" s="886"/>
      <c r="AG110" s="886"/>
      <c r="AH110" s="886"/>
      <c r="AI110" s="886"/>
      <c r="AJ110" s="886"/>
      <c r="AK110" s="886"/>
      <c r="AL110" s="886"/>
      <c r="AM110" s="886"/>
      <c r="AN110" s="887"/>
      <c r="AR110" s="880"/>
      <c r="CK110"/>
      <c r="CL110"/>
    </row>
    <row r="111" spans="4:90" ht="14.85" customHeight="1" thickBot="1">
      <c r="AE111" s="885"/>
      <c r="AF111" s="886"/>
      <c r="AG111" s="886"/>
      <c r="AH111" s="886"/>
      <c r="AI111" s="886"/>
      <c r="AJ111" s="886"/>
      <c r="AK111" s="886"/>
      <c r="AL111" s="886"/>
      <c r="AM111" s="886"/>
      <c r="AN111" s="887"/>
      <c r="AR111" s="880"/>
      <c r="CK111"/>
      <c r="CL111"/>
    </row>
    <row r="112" spans="4:90" ht="14.85" customHeight="1" thickBot="1">
      <c r="G112" s="871" t="str">
        <f>'Translate&amp;Prices&amp;Logo'!$O$175</f>
        <v>Szerokość</v>
      </c>
      <c r="H112" s="872">
        <f>Ram_1!AG102</f>
        <v>0</v>
      </c>
      <c r="I112" s="872">
        <f>Ram_1!AH102</f>
        <v>0</v>
      </c>
      <c r="J112" s="873">
        <f>Ram_3!AI30</f>
        <v>0</v>
      </c>
      <c r="K112" s="873">
        <f>Ram_1!AJ102</f>
        <v>0</v>
      </c>
      <c r="L112" s="874">
        <f>Ram_1!AK102</f>
        <v>0</v>
      </c>
      <c r="AE112" s="885"/>
      <c r="AF112" s="886"/>
      <c r="AG112" s="886"/>
      <c r="AH112" s="886"/>
      <c r="AI112" s="886"/>
      <c r="AJ112" s="886"/>
      <c r="AK112" s="886"/>
      <c r="AL112" s="886"/>
      <c r="AM112" s="886"/>
      <c r="AN112" s="887"/>
      <c r="AR112" s="880"/>
      <c r="CK112"/>
      <c r="CL112"/>
    </row>
    <row r="113" spans="1:101" ht="21" customHeight="1">
      <c r="AE113" s="888"/>
      <c r="AF113" s="889"/>
      <c r="AG113" s="889"/>
      <c r="AH113" s="889"/>
      <c r="AI113" s="889"/>
      <c r="AJ113" s="889"/>
      <c r="AK113" s="889"/>
      <c r="AL113" s="889"/>
      <c r="AM113" s="889"/>
      <c r="AN113" s="890"/>
      <c r="AR113" s="880"/>
      <c r="CK113"/>
      <c r="CL113"/>
    </row>
    <row r="114" spans="1:101" ht="14.85" customHeight="1">
      <c r="AR114" s="880"/>
      <c r="CK114"/>
      <c r="CL114"/>
      <c r="CM114" s="67"/>
      <c r="CN114" s="67"/>
      <c r="CO114" s="67"/>
      <c r="CP114" s="67"/>
      <c r="CQ114" s="67"/>
      <c r="CR114" s="67"/>
      <c r="CS114" s="67"/>
      <c r="CT114" s="67"/>
      <c r="CU114" s="67"/>
      <c r="CV114" s="67"/>
      <c r="CW114" s="67"/>
    </row>
    <row r="115" spans="1:101" ht="14.85" customHeight="1">
      <c r="AR115" s="880"/>
      <c r="CK115"/>
      <c r="CL115"/>
    </row>
    <row r="116" spans="1:101"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181"/>
      <c r="AF116" s="182"/>
      <c r="AG116" s="30"/>
      <c r="AH116" s="30"/>
      <c r="AI116" s="30"/>
      <c r="AJ116" s="30"/>
      <c r="AK116" s="30"/>
      <c r="AL116" s="30"/>
      <c r="AM116" s="30"/>
      <c r="AN116" s="30"/>
      <c r="AO116" s="30"/>
      <c r="AP116" s="30"/>
      <c r="AQ116" s="30"/>
      <c r="AR116" s="30"/>
      <c r="CK116"/>
      <c r="CL116"/>
    </row>
    <row r="117" spans="1:101" ht="35.1" customHeight="1" thickBot="1">
      <c r="J117" s="178"/>
      <c r="K117" s="178"/>
      <c r="L117" s="178"/>
      <c r="M117" s="178"/>
      <c r="N117" s="178"/>
      <c r="O117" s="178"/>
      <c r="P117" s="178"/>
      <c r="Q117" s="178"/>
      <c r="R117" s="178"/>
      <c r="S117" s="178"/>
      <c r="T117" s="178"/>
      <c r="U117" s="178"/>
      <c r="V117" s="178"/>
      <c r="W117" s="869" t="str">
        <f>'Translate&amp;Prices&amp;Logo'!$O$256</f>
        <v>Numer zamówienia</v>
      </c>
      <c r="X117" s="869"/>
      <c r="Y117" s="869"/>
      <c r="Z117" s="869"/>
      <c r="AA117" s="869"/>
      <c r="AB117" s="113"/>
      <c r="AC117" s="866"/>
      <c r="AD117" s="867"/>
      <c r="AE117" s="867"/>
      <c r="AF117" s="867"/>
      <c r="AG117" s="867"/>
      <c r="AH117" s="867"/>
      <c r="AI117" s="867"/>
      <c r="AJ117" s="867"/>
      <c r="AK117" s="867"/>
      <c r="AL117" s="867"/>
      <c r="AM117" s="867"/>
      <c r="AN117" s="867"/>
      <c r="AO117" s="868"/>
      <c r="AR117" s="880" t="s">
        <v>1730</v>
      </c>
      <c r="CK117"/>
      <c r="CL117"/>
    </row>
    <row r="118" spans="1:101" ht="16.350000000000001" customHeight="1">
      <c r="W118" s="865" t="str">
        <f>'Translate&amp;Prices&amp;Logo'!$O$542</f>
        <v>Połączenie 2 profili</v>
      </c>
      <c r="X118" s="865"/>
      <c r="Y118" s="865"/>
      <c r="Z118" s="865"/>
      <c r="AA118" s="865"/>
      <c r="AB118" s="113"/>
      <c r="AC118" s="879" t="str">
        <f>IF(kombinace_4!$H$1=TRUE,"Tak","Nie")</f>
        <v>Nie</v>
      </c>
      <c r="AD118" s="879"/>
      <c r="AE118" s="879"/>
      <c r="AF118" s="879"/>
      <c r="AG118" s="879"/>
      <c r="AH118" s="879"/>
      <c r="AI118" s="879"/>
      <c r="AJ118" s="879"/>
      <c r="AK118" s="879"/>
      <c r="AL118" s="879"/>
      <c r="AM118" s="879"/>
      <c r="AN118" s="879"/>
      <c r="AO118" s="879"/>
      <c r="AR118" s="880"/>
      <c r="CK118"/>
      <c r="CL118"/>
    </row>
    <row r="119" spans="1:101" ht="16.350000000000001" customHeight="1">
      <c r="W119" s="865" t="str">
        <f>'Translate&amp;Prices&amp;Logo'!$O$172</f>
        <v>Rodzaj profilu</v>
      </c>
      <c r="X119" s="865"/>
      <c r="Y119" s="865"/>
      <c r="Z119" s="865"/>
      <c r="AA119" s="865"/>
      <c r="AB119" s="113"/>
      <c r="AC119" s="864">
        <f>IFERROR(VLOOKUP(Ram_4!$H$8,'Translate&amp;Prices&amp;Logo'!AA1:AB282,2,0),Ram_4!$H$8)</f>
        <v>0</v>
      </c>
      <c r="AD119" s="864"/>
      <c r="AE119" s="864"/>
      <c r="AF119" s="864"/>
      <c r="AG119" s="864"/>
      <c r="AH119" s="864"/>
      <c r="AI119" s="864"/>
      <c r="AJ119" s="864"/>
      <c r="AK119" s="864"/>
      <c r="AL119" s="864"/>
      <c r="AM119" s="864"/>
      <c r="AN119" s="864"/>
      <c r="AO119" s="864"/>
      <c r="AR119" s="880"/>
      <c r="CK119"/>
      <c r="CL119"/>
    </row>
    <row r="120" spans="1:101" ht="16.350000000000001" customHeight="1">
      <c r="W120" s="865" t="str">
        <f>'Translate&amp;Prices&amp;Logo'!$O$543</f>
        <v>Szprosy</v>
      </c>
      <c r="X120" s="865"/>
      <c r="Y120" s="865"/>
      <c r="Z120" s="865"/>
      <c r="AA120" s="865"/>
      <c r="AB120" s="113"/>
      <c r="AC120" s="864" t="str">
        <f>IFERROR(VLOOKUP(Ram_4!$AU$10,AU120:AV123,2,0),0)</f>
        <v>Nie</v>
      </c>
      <c r="AD120" s="864"/>
      <c r="AE120" s="864"/>
      <c r="AF120" s="864"/>
      <c r="AG120" s="864"/>
      <c r="AH120" s="864"/>
      <c r="AI120" s="864"/>
      <c r="AJ120" s="864"/>
      <c r="AK120" s="864"/>
      <c r="AL120" s="864"/>
      <c r="AM120" s="864"/>
      <c r="AN120" s="864"/>
      <c r="AO120" s="864"/>
      <c r="AR120" s="880"/>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183"/>
      <c r="X121" s="183"/>
      <c r="Y121" s="183"/>
      <c r="Z121" s="183"/>
      <c r="AA121" s="183"/>
      <c r="AB121" s="113"/>
      <c r="AC121" s="881" t="str">
        <f>'Translate&amp;Prices&amp;Logo'!$O$558</f>
        <v>Poziomo (termin dostawy 4 tygodnie)</v>
      </c>
      <c r="AD121" s="881"/>
      <c r="AE121" s="881"/>
      <c r="AF121" s="881"/>
      <c r="AG121" s="881"/>
      <c r="AH121" s="881"/>
      <c r="AI121" s="881"/>
      <c r="AJ121" s="881" t="str">
        <f>'Translate&amp;Prices&amp;Logo'!$O$559</f>
        <v>Pionowo (termin dostawy 4 tygodnie)</v>
      </c>
      <c r="AK121" s="881"/>
      <c r="AL121" s="881"/>
      <c r="AM121" s="881"/>
      <c r="AN121" s="881"/>
      <c r="AO121" s="881"/>
      <c r="AR121" s="880"/>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865" t="str">
        <f>('Translate&amp;Prices&amp;Logo'!$O$543)&amp;" "&amp;"("&amp;'Translate&amp;Prices&amp;Logo'!$O$174&amp;")"</f>
        <v>Szprosy (Ilość sztuk)</v>
      </c>
      <c r="X122" s="865"/>
      <c r="Y122" s="865"/>
      <c r="Z122" s="865"/>
      <c r="AA122" s="865"/>
      <c r="AB122" s="113"/>
      <c r="AC122" s="864">
        <f>Ram_4!$H$11</f>
        <v>0</v>
      </c>
      <c r="AD122" s="864"/>
      <c r="AE122" s="864"/>
      <c r="AF122" s="864"/>
      <c r="AG122" s="864"/>
      <c r="AH122" s="864"/>
      <c r="AI122" s="864"/>
      <c r="AJ122" s="864">
        <f>Ram_4!$M$11</f>
        <v>0</v>
      </c>
      <c r="AK122" s="864"/>
      <c r="AL122" s="864"/>
      <c r="AM122" s="864"/>
      <c r="AN122" s="864"/>
      <c r="AO122" s="864"/>
      <c r="AR122" s="880"/>
      <c r="AU122">
        <v>2</v>
      </c>
      <c r="AV122" t="str">
        <f>'Translate&amp;Prices&amp;Logo'!$O$559</f>
        <v>Pionowo (termin dostawy 4 tygodnie)</v>
      </c>
      <c r="BX122" s="1">
        <v>3</v>
      </c>
      <c r="BY122" s="1" t="str">
        <f>'Translate&amp;Prices&amp;Logo'!$O$102</f>
        <v>Folia</v>
      </c>
      <c r="CA122"/>
      <c r="CB122"/>
    </row>
    <row r="123" spans="1:101" ht="16.350000000000001" customHeight="1">
      <c r="W123" s="865" t="str">
        <f>'Translate&amp;Prices&amp;Logo'!$O$258</f>
        <v>Typ okucia</v>
      </c>
      <c r="X123" s="865"/>
      <c r="Y123" s="865"/>
      <c r="Z123" s="865"/>
      <c r="AA123" s="865"/>
      <c r="AB123" s="113"/>
      <c r="AC123" s="864">
        <f>IFERROR(VLOOKUP(Ram_4!$AU$9,AZ120:BA121,2,0),0)</f>
        <v>0</v>
      </c>
      <c r="AD123" s="864"/>
      <c r="AE123" s="864"/>
      <c r="AF123" s="864"/>
      <c r="AG123" s="864"/>
      <c r="AH123" s="864"/>
      <c r="AI123" s="864"/>
      <c r="AJ123" s="864"/>
      <c r="AK123" s="864"/>
      <c r="AL123" s="864"/>
      <c r="AM123" s="864"/>
      <c r="AN123" s="864"/>
      <c r="AO123" s="864"/>
      <c r="AR123" s="880"/>
      <c r="AU123">
        <v>3</v>
      </c>
      <c r="AV123" t="str">
        <f>'Translate&amp;Prices&amp;Logo'!$O$560</f>
        <v>Poziomo i pionowo (termin dostawy 4 tygodnie)</v>
      </c>
      <c r="CA123"/>
      <c r="CB123"/>
    </row>
    <row r="124" spans="1:101" ht="16.350000000000001" customHeight="1">
      <c r="W124" s="865" t="str">
        <f>'Translate&amp;Prices&amp;Logo'!$O$544</f>
        <v>Marka okucia</v>
      </c>
      <c r="X124" s="865"/>
      <c r="Y124" s="865"/>
      <c r="Z124" s="865"/>
      <c r="AA124" s="865"/>
      <c r="AB124" s="113"/>
      <c r="AC124" s="864">
        <f>Ram_4!$H$13</f>
        <v>0</v>
      </c>
      <c r="AD124" s="864"/>
      <c r="AE124" s="864"/>
      <c r="AF124" s="864"/>
      <c r="AG124" s="864"/>
      <c r="AH124" s="864"/>
      <c r="AI124" s="864"/>
      <c r="AJ124" s="864"/>
      <c r="AK124" s="864"/>
      <c r="AL124" s="864"/>
      <c r="AM124" s="864"/>
      <c r="AN124" s="864"/>
      <c r="AO124" s="864"/>
      <c r="AR124" s="880"/>
      <c r="CA124"/>
      <c r="CB124"/>
    </row>
    <row r="125" spans="1:101" ht="16.350000000000001" customHeight="1" thickBot="1">
      <c r="W125" s="865" t="str">
        <f>'Translate&amp;Prices&amp;Logo'!$O$546</f>
        <v>Nałożenie</v>
      </c>
      <c r="X125" s="865"/>
      <c r="Y125" s="865"/>
      <c r="Z125" s="865"/>
      <c r="AA125" s="865"/>
      <c r="AB125" s="113"/>
      <c r="AC125" s="864">
        <f>IFERROR(VLOOKUP(Ram_4!$H$14,$BD$12:$BE$29,2,0),0)</f>
        <v>0</v>
      </c>
      <c r="AD125" s="864"/>
      <c r="AE125" s="864"/>
      <c r="AF125" s="864"/>
      <c r="AG125" s="864"/>
      <c r="AH125" s="864"/>
      <c r="AI125" s="864"/>
      <c r="AJ125" s="864"/>
      <c r="AK125" s="864"/>
      <c r="AL125" s="864"/>
      <c r="AM125" s="864"/>
      <c r="AN125" s="864"/>
      <c r="AO125" s="864"/>
      <c r="AR125" s="880"/>
      <c r="CA125"/>
      <c r="CB125"/>
    </row>
    <row r="126" spans="1:101" ht="16.350000000000001" customHeight="1">
      <c r="S126" s="875">
        <f>Ram_4!AR14</f>
        <v>0</v>
      </c>
      <c r="W126" s="865" t="str">
        <f>'Translate&amp;Prices&amp;Logo'!$O$545</f>
        <v>Wariant okucia</v>
      </c>
      <c r="X126" s="865"/>
      <c r="Y126" s="865"/>
      <c r="Z126" s="865"/>
      <c r="AA126" s="865"/>
      <c r="AB126" s="113"/>
      <c r="AC126" s="891">
        <f>IFERROR(VLOOKUP(Ram_4!$H$15,kombinace_1!$ED$2:$EE$760,2,0),Ram_4!$H$15)</f>
        <v>0</v>
      </c>
      <c r="AD126" s="891"/>
      <c r="AE126" s="891"/>
      <c r="AF126" s="891"/>
      <c r="AG126" s="891"/>
      <c r="AH126" s="891"/>
      <c r="AI126" s="891"/>
      <c r="AJ126" s="864" t="str">
        <f>IF(AC126='Translate&amp;Prices&amp;Logo'!C698,VLOOKUP(Ram_4!H17,'Translate&amp;Prices&amp;Logo'!C699:D746,2,0),"")</f>
        <v/>
      </c>
      <c r="AK126" s="864"/>
      <c r="AL126" s="864"/>
      <c r="AM126" s="864"/>
      <c r="AN126" s="864"/>
      <c r="AO126" s="864"/>
      <c r="AR126" s="880"/>
      <c r="CA126"/>
      <c r="CB126"/>
    </row>
    <row r="127" spans="1:101" ht="16.350000000000001" customHeight="1">
      <c r="S127" s="876">
        <f>Ram_1!AR123</f>
        <v>0</v>
      </c>
      <c r="W127" s="865" t="str">
        <f>'Translate&amp;Prices&amp;Logo'!$O$218</f>
        <v>Wybierz pozycję ramki</v>
      </c>
      <c r="X127" s="865"/>
      <c r="Y127" s="865"/>
      <c r="Z127" s="865"/>
      <c r="AA127" s="865"/>
      <c r="AB127" s="864">
        <f>IFERROR(VLOOKUP(Ram_4!$F$16,BI12:BJ23,2,0),0)</f>
        <v>0</v>
      </c>
      <c r="AC127" s="864"/>
      <c r="AD127" s="864"/>
      <c r="AE127" s="864"/>
      <c r="AF127" s="864"/>
      <c r="AG127" s="892" t="str">
        <f>'Translate&amp;Prices&amp;Logo'!$O$232</f>
        <v>Rodzaj drugiej ramki</v>
      </c>
      <c r="AH127" s="892"/>
      <c r="AI127" s="892"/>
      <c r="AJ127" s="864">
        <f>IFERROR(VLOOKUP(Ram_4!$N$16,BM12:BN41,2,0),0)</f>
        <v>0</v>
      </c>
      <c r="AK127" s="864"/>
      <c r="AL127" s="864"/>
      <c r="AM127" s="864"/>
      <c r="AN127" s="864"/>
      <c r="AO127" s="864"/>
      <c r="AR127" s="880"/>
      <c r="CA127"/>
      <c r="CB127"/>
    </row>
    <row r="128" spans="1:101" ht="16.350000000000001" customHeight="1">
      <c r="S128" s="876">
        <f>Ram_1!AR124</f>
        <v>0</v>
      </c>
      <c r="W128" s="865" t="str">
        <f>IF(AC123='Translate&amp;Prices&amp;Logo'!O551,'Translate&amp;Prices&amp;Logo'!O238,'Translate&amp;Prices&amp;Logo'!$O$226)</f>
        <v>Umieszczenie</v>
      </c>
      <c r="X128" s="865"/>
      <c r="Y128" s="865"/>
      <c r="Z128" s="865"/>
      <c r="AA128" s="865"/>
      <c r="AB128" s="113"/>
      <c r="AC128" s="864" t="str">
        <f>IFERROR((IF(Ram_4!H12='Translate&amp;Prices&amp;Logo'!B552,VLOOKUP(Ram_4!$N$16,BM42:BN71,2,0),VLOOKUP(Ram_4!$H$17,BM42:BN65,2,0))),"")</f>
        <v/>
      </c>
      <c r="AD128" s="864"/>
      <c r="AE128" s="864"/>
      <c r="AF128" s="864"/>
      <c r="AG128" s="864"/>
      <c r="AH128" s="864"/>
      <c r="AI128" s="864"/>
      <c r="AJ128" s="864"/>
      <c r="AK128" s="864"/>
      <c r="AL128" s="864"/>
      <c r="AM128" s="864"/>
      <c r="AN128" s="864"/>
      <c r="AO128" s="864"/>
      <c r="AR128" s="880"/>
      <c r="CA128"/>
      <c r="CB128"/>
    </row>
    <row r="129" spans="19:80" ht="16.350000000000001" customHeight="1">
      <c r="S129" s="876">
        <f>Ram_1!AR125</f>
        <v>0</v>
      </c>
      <c r="W129" s="865" t="str">
        <f>'Translate&amp;Prices&amp;Logo'!$O$547</f>
        <v>Zawiasy do podnośników</v>
      </c>
      <c r="X129" s="865"/>
      <c r="Y129" s="865"/>
      <c r="Z129" s="865"/>
      <c r="AA129" s="865"/>
      <c r="AB129" s="113"/>
      <c r="AC129" s="864">
        <f>IFERROR((VLOOKUP(Ram_4!$H$18,$CK$2:$CL$90,2,0)),Ram_4!$H$18)</f>
        <v>0</v>
      </c>
      <c r="AD129" s="864"/>
      <c r="AE129" s="864"/>
      <c r="AF129" s="864"/>
      <c r="AG129" s="864"/>
      <c r="AH129" s="864"/>
      <c r="AI129" s="864"/>
      <c r="AJ129" s="864"/>
      <c r="AK129" s="864"/>
      <c r="AL129" s="864"/>
      <c r="AM129" s="864"/>
      <c r="AN129" s="864"/>
      <c r="AO129" s="864"/>
      <c r="AR129" s="880"/>
      <c r="CA129"/>
      <c r="CB129"/>
    </row>
    <row r="130" spans="19:80" ht="16.350000000000001" customHeight="1">
      <c r="S130" s="876">
        <f>Ram_1!AR126</f>
        <v>0</v>
      </c>
      <c r="W130" s="865" t="str">
        <f>'Translate&amp;Prices&amp;Logo'!$O$223</f>
        <v>Ilość zawiasów na 1 ramkę</v>
      </c>
      <c r="X130" s="865"/>
      <c r="Y130" s="865"/>
      <c r="Z130" s="865"/>
      <c r="AA130" s="865"/>
      <c r="AB130" s="113"/>
      <c r="AC130" s="864">
        <f>Ram_4!$H$19</f>
        <v>0</v>
      </c>
      <c r="AD130" s="864"/>
      <c r="AE130" s="864"/>
      <c r="AF130" s="864"/>
      <c r="AG130" s="864"/>
      <c r="AH130" s="864"/>
      <c r="AI130" s="864"/>
      <c r="AJ130" s="864"/>
      <c r="AK130" s="864"/>
      <c r="AL130" s="864"/>
      <c r="AM130" s="864"/>
      <c r="AN130" s="864"/>
      <c r="AO130" s="864"/>
      <c r="AR130" s="880"/>
      <c r="CA130"/>
      <c r="CB130"/>
    </row>
    <row r="131" spans="19:80" ht="16.350000000000001" customHeight="1">
      <c r="S131" s="877" t="str">
        <f>'Translate&amp;Prices&amp;Logo'!$O$176</f>
        <v>Wysokość</v>
      </c>
      <c r="W131" s="865" t="e">
        <f>'Translate&amp;Prices&amp;Logo'!$O$242&amp;" "&amp;VLOOKUP(Ram_4!H17,kombinace_1!$BY$32:$CC$35,5,0)</f>
        <v>#N/A</v>
      </c>
      <c r="X131" s="865"/>
      <c r="Y131" s="865"/>
      <c r="Z131" s="865"/>
      <c r="AA131" s="865"/>
      <c r="AB131" s="864">
        <f>Ram_4!$F$20</f>
        <v>100</v>
      </c>
      <c r="AC131" s="864"/>
      <c r="AD131" s="864"/>
      <c r="AE131" s="864"/>
      <c r="AF131" s="864"/>
      <c r="AG131" s="865" t="e">
        <f>'Translate&amp;Prices&amp;Logo'!$O$242&amp;" "&amp;VLOOKUP(Ram_4!H17,kombinace_1!$BY$32:$CD$35,6,0)</f>
        <v>#N/A</v>
      </c>
      <c r="AH131" s="865"/>
      <c r="AI131" s="865"/>
      <c r="AJ131" s="865"/>
      <c r="AK131" s="865"/>
      <c r="AL131" s="864">
        <f>Ram_4!$N$20</f>
        <v>100</v>
      </c>
      <c r="AM131" s="864"/>
      <c r="AN131" s="864"/>
      <c r="AO131" s="864"/>
      <c r="AR131" s="880"/>
      <c r="CA131"/>
      <c r="CB131"/>
    </row>
    <row r="132" spans="19:80" ht="16.350000000000001" customHeight="1">
      <c r="S132" s="877">
        <f>Ram_1!AR128</f>
        <v>0</v>
      </c>
      <c r="W132" s="308" t="str">
        <f>'Translate&amp;Prices&amp;Logo'!$O$653</f>
        <v>Wypełnienie z siatki</v>
      </c>
      <c r="X132" s="183"/>
      <c r="Y132" s="183"/>
      <c r="Z132" s="183"/>
      <c r="AA132" s="183"/>
      <c r="AB132" s="113"/>
      <c r="AC132" s="863" t="str">
        <f>IF(kombinace_4!FC2=TRUE,"Tak","Nie")</f>
        <v>Nie</v>
      </c>
      <c r="AD132" s="863"/>
      <c r="AE132" s="863"/>
      <c r="AF132" s="863"/>
      <c r="AG132" s="863"/>
      <c r="AH132" s="863"/>
      <c r="AI132" s="863"/>
      <c r="AJ132" s="863"/>
      <c r="AK132" s="863"/>
      <c r="AL132" s="863"/>
      <c r="AM132" s="863"/>
      <c r="AN132" s="863"/>
      <c r="AO132" s="863"/>
      <c r="AR132" s="880"/>
      <c r="CA132"/>
      <c r="CB132"/>
    </row>
    <row r="133" spans="19:80" ht="16.350000000000001" customHeight="1">
      <c r="S133" s="877">
        <f>Ram_1!AR129</f>
        <v>0</v>
      </c>
      <c r="W133" s="865" t="str">
        <f>'Translate&amp;Prices&amp;Logo'!$O$173</f>
        <v>Rodzaj szkła</v>
      </c>
      <c r="X133" s="865"/>
      <c r="Y133" s="865"/>
      <c r="Z133" s="865"/>
      <c r="AA133" s="865"/>
      <c r="AB133" s="113"/>
      <c r="AC133" s="864" t="str">
        <f>IFERROR(VLOOKUP(kombinace_4!$V$1,BX120:BY122,2,0),0)</f>
        <v>Bez modyfikacji</v>
      </c>
      <c r="AD133" s="864"/>
      <c r="AE133" s="864"/>
      <c r="AF133" s="864"/>
      <c r="AG133" s="864"/>
      <c r="AH133" s="864"/>
      <c r="AI133" s="864"/>
      <c r="AJ133" s="864"/>
      <c r="AK133" s="864"/>
      <c r="AL133" s="864"/>
      <c r="AM133" s="864"/>
      <c r="AN133" s="864"/>
      <c r="AO133" s="864"/>
      <c r="AR133" s="880"/>
      <c r="CA133"/>
      <c r="CB133"/>
    </row>
    <row r="134" spans="19:80" ht="16.350000000000001" customHeight="1">
      <c r="S134" s="877">
        <f>Ram_1!AR130</f>
        <v>0</v>
      </c>
      <c r="W134" s="865" t="str">
        <f>'Translate&amp;Prices&amp;Logo'!$O$562</f>
        <v>Rodzaj folii</v>
      </c>
      <c r="X134" s="865"/>
      <c r="Y134" s="865"/>
      <c r="Z134" s="865"/>
      <c r="AA134" s="865"/>
      <c r="AB134" s="113"/>
      <c r="AC134" s="864">
        <f>IFERROR(VLOOKUP(Ram_4!$H$24,CA12:CB29,2,0),0)</f>
        <v>0</v>
      </c>
      <c r="AD134" s="864"/>
      <c r="AE134" s="864"/>
      <c r="AF134" s="864"/>
      <c r="AG134" s="864"/>
      <c r="AH134" s="864"/>
      <c r="AI134" s="864"/>
      <c r="AJ134" s="864"/>
      <c r="AK134" s="864"/>
      <c r="AL134" s="864"/>
      <c r="AM134" s="864"/>
      <c r="AN134" s="864"/>
      <c r="AO134" s="864"/>
      <c r="AR134" s="880"/>
      <c r="CA134"/>
      <c r="CB134"/>
    </row>
    <row r="135" spans="19:80" ht="16.350000000000001" customHeight="1" thickBot="1">
      <c r="S135" s="878">
        <f>Ram_1!AR131</f>
        <v>0</v>
      </c>
      <c r="W135" s="865" t="str">
        <f>'Translate&amp;Prices&amp;Logo'!$O$173</f>
        <v>Rodzaj szkła</v>
      </c>
      <c r="X135" s="865"/>
      <c r="Y135" s="865"/>
      <c r="Z135" s="865"/>
      <c r="AA135" s="865"/>
      <c r="AB135" s="113"/>
      <c r="AC135" s="864">
        <f>IFERROR(VLOOKUP(Ram_4!$H$25,'Translate&amp;Prices&amp;Logo'!$AH$1:$AI$165,2,0),Ram_4!$H$25)</f>
        <v>0</v>
      </c>
      <c r="AD135" s="864"/>
      <c r="AE135" s="864"/>
      <c r="AF135" s="864"/>
      <c r="AG135" s="864"/>
      <c r="AH135" s="864"/>
      <c r="AI135" s="864"/>
      <c r="AJ135" s="864"/>
      <c r="AK135" s="864"/>
      <c r="AL135" s="864"/>
      <c r="AM135" s="864"/>
      <c r="AN135" s="864"/>
      <c r="AO135" s="864"/>
      <c r="AR135" s="880"/>
    </row>
    <row r="136" spans="19:80" ht="16.350000000000001" customHeight="1">
      <c r="W136" s="865" t="str">
        <f>'Translate&amp;Prices&amp;Logo'!$O$549</f>
        <v>Rozstaw uchwytu (mm)</v>
      </c>
      <c r="X136" s="865"/>
      <c r="Y136" s="865"/>
      <c r="Z136" s="865"/>
      <c r="AA136" s="865"/>
      <c r="AB136" s="113"/>
      <c r="AC136" s="864">
        <f>Ram_4!$H$26</f>
        <v>0</v>
      </c>
      <c r="AD136" s="864"/>
      <c r="AE136" s="864"/>
      <c r="AF136" s="864"/>
      <c r="AG136" s="864"/>
      <c r="AH136" s="864"/>
      <c r="AI136" s="864"/>
      <c r="AJ136" s="864"/>
      <c r="AK136" s="864"/>
      <c r="AL136" s="864"/>
      <c r="AM136" s="864"/>
      <c r="AN136" s="864"/>
      <c r="AO136" s="864"/>
      <c r="AR136" s="880"/>
    </row>
    <row r="137" spans="19:80" ht="16.350000000000001" customHeight="1">
      <c r="W137" s="865" t="str">
        <f>'Translate&amp;Prices&amp;Logo'!$O$550</f>
        <v>Umieszczenie uchwytu</v>
      </c>
      <c r="X137" s="865"/>
      <c r="Y137" s="865"/>
      <c r="Z137" s="865"/>
      <c r="AA137" s="865"/>
      <c r="AB137" s="113"/>
      <c r="AC137" s="864">
        <f>IFERROR(VLOOKUP(Ram_4!$H$27,BM62:BN65,2,0),0)</f>
        <v>0</v>
      </c>
      <c r="AD137" s="864"/>
      <c r="AE137" s="864"/>
      <c r="AF137" s="864"/>
      <c r="AG137" s="864"/>
      <c r="AH137" s="864"/>
      <c r="AI137" s="864"/>
      <c r="AJ137" s="864"/>
      <c r="AK137" s="864"/>
      <c r="AL137" s="864"/>
      <c r="AM137" s="864"/>
      <c r="AN137" s="864"/>
      <c r="AO137" s="864"/>
      <c r="AR137" s="880"/>
    </row>
    <row r="138" spans="19:80" ht="16.350000000000001" customHeight="1">
      <c r="W138" s="865" t="str">
        <f>('Translate&amp;Prices&amp;Logo'!$O$174)&amp;" "&amp;"-"&amp;" "&amp;('Translate&amp;Prices&amp;Logo'!$O$169)&amp;" "&amp;" "&amp;4</f>
        <v>Ilość sztuk - Ramka  4</v>
      </c>
      <c r="X138" s="865"/>
      <c r="Y138" s="865"/>
      <c r="Z138" s="865"/>
      <c r="AA138" s="865"/>
      <c r="AB138" s="113"/>
      <c r="AC138" s="864">
        <f>Ram_4!$H$28</f>
        <v>0</v>
      </c>
      <c r="AD138" s="864"/>
      <c r="AE138" s="864"/>
      <c r="AF138" s="864"/>
      <c r="AG138" s="864"/>
      <c r="AH138" s="864"/>
      <c r="AI138" s="864"/>
      <c r="AJ138" s="864"/>
      <c r="AK138" s="864"/>
      <c r="AL138" s="864"/>
      <c r="AM138" s="864"/>
      <c r="AN138" s="864"/>
      <c r="AO138" s="864"/>
      <c r="AR138" s="880"/>
    </row>
    <row r="139" spans="19:80" ht="16.350000000000001" customHeight="1">
      <c r="AE139" s="1"/>
      <c r="AF139" s="1"/>
      <c r="AR139" s="880"/>
    </row>
    <row r="140" spans="19:80" ht="14.85" customHeight="1">
      <c r="AR140" s="880"/>
    </row>
    <row r="141" spans="19:80" ht="14.85" customHeight="1">
      <c r="W141" s="870" t="s">
        <v>1725</v>
      </c>
      <c r="X141" s="870"/>
      <c r="Y141" s="870"/>
      <c r="Z141" s="870"/>
      <c r="AE141" s="870" t="s">
        <v>1726</v>
      </c>
      <c r="AF141" s="870"/>
      <c r="AG141" s="870"/>
      <c r="AH141" s="870"/>
      <c r="AR141" s="880"/>
    </row>
    <row r="142" spans="19:80" ht="14.85" customHeight="1">
      <c r="AE142" s="882"/>
      <c r="AF142" s="883"/>
      <c r="AG142" s="883"/>
      <c r="AH142" s="883"/>
      <c r="AI142" s="883"/>
      <c r="AJ142" s="883"/>
      <c r="AK142" s="883"/>
      <c r="AL142" s="883"/>
      <c r="AM142" s="883"/>
      <c r="AN142" s="884"/>
      <c r="AR142" s="880"/>
    </row>
    <row r="143" spans="19:80" ht="14.85" customHeight="1">
      <c r="AE143" s="885"/>
      <c r="AF143" s="886"/>
      <c r="AG143" s="886"/>
      <c r="AH143" s="886"/>
      <c r="AI143" s="886"/>
      <c r="AJ143" s="886"/>
      <c r="AK143" s="886"/>
      <c r="AL143" s="886"/>
      <c r="AM143" s="886"/>
      <c r="AN143" s="887"/>
      <c r="AR143" s="880"/>
    </row>
    <row r="144" spans="19:80" ht="14.85" customHeight="1">
      <c r="AE144" s="885"/>
      <c r="AF144" s="886"/>
      <c r="AG144" s="886"/>
      <c r="AH144" s="886"/>
      <c r="AI144" s="886"/>
      <c r="AJ144" s="886"/>
      <c r="AK144" s="886"/>
      <c r="AL144" s="886"/>
      <c r="AM144" s="886"/>
      <c r="AN144" s="887"/>
      <c r="AR144" s="880"/>
    </row>
    <row r="145" spans="1:80" ht="14.85" customHeight="1">
      <c r="D145" s="894">
        <f>IF(OR(Ram_4!$AC$25="x",Ram_4!$AJ$26="x",Ram_4!$AC$9="x",Ram_4!$AJ$7="x",Ram_4!$AB$16="x",Ram_4!$AM$23="x",Ram_4!$AN$19="x",Ram_4!$AD$10="x"),'Translate&amp;Prices&amp;Logo'!$B$588,0)</f>
        <v>0</v>
      </c>
      <c r="E145" s="894"/>
      <c r="F145" s="894"/>
      <c r="G145" s="894"/>
      <c r="H145" s="894"/>
      <c r="I145" s="894"/>
      <c r="J145" s="894"/>
      <c r="K145" s="894"/>
      <c r="L145" s="894"/>
      <c r="M145" s="894"/>
      <c r="N145" s="894"/>
      <c r="O145" s="894"/>
      <c r="P145" s="894"/>
      <c r="AE145" s="885"/>
      <c r="AF145" s="886"/>
      <c r="AG145" s="886"/>
      <c r="AH145" s="886"/>
      <c r="AI145" s="886"/>
      <c r="AJ145" s="886"/>
      <c r="AK145" s="886"/>
      <c r="AL145" s="886"/>
      <c r="AM145" s="886"/>
      <c r="AN145" s="887"/>
      <c r="AR145" s="880"/>
    </row>
    <row r="146" spans="1:80" ht="14.85" customHeight="1">
      <c r="AE146" s="885"/>
      <c r="AF146" s="886"/>
      <c r="AG146" s="886"/>
      <c r="AH146" s="886"/>
      <c r="AI146" s="886"/>
      <c r="AJ146" s="886"/>
      <c r="AK146" s="886"/>
      <c r="AL146" s="886"/>
      <c r="AM146" s="886"/>
      <c r="AN146" s="887"/>
      <c r="AR146" s="880"/>
    </row>
    <row r="147" spans="1:80" ht="14.85" customHeight="1" thickBot="1">
      <c r="AE147" s="885"/>
      <c r="AF147" s="886"/>
      <c r="AG147" s="886"/>
      <c r="AH147" s="886"/>
      <c r="AI147" s="886"/>
      <c r="AJ147" s="886"/>
      <c r="AK147" s="886"/>
      <c r="AL147" s="886"/>
      <c r="AM147" s="886"/>
      <c r="AN147" s="887"/>
      <c r="AR147" s="880"/>
    </row>
    <row r="148" spans="1:80" ht="14.85" customHeight="1" thickBot="1">
      <c r="G148" s="871" t="str">
        <f>'Translate&amp;Prices&amp;Logo'!$O$175</f>
        <v>Szerokość</v>
      </c>
      <c r="H148" s="872">
        <f>Ram_1!AG138</f>
        <v>0</v>
      </c>
      <c r="I148" s="872">
        <f>Ram_1!AH138</f>
        <v>0</v>
      </c>
      <c r="J148" s="873">
        <f>Ram_4!AI30</f>
        <v>0</v>
      </c>
      <c r="K148" s="873">
        <f>Ram_1!AJ138</f>
        <v>0</v>
      </c>
      <c r="L148" s="874">
        <f>Ram_1!AK138</f>
        <v>0</v>
      </c>
      <c r="AE148" s="885"/>
      <c r="AF148" s="886"/>
      <c r="AG148" s="886"/>
      <c r="AH148" s="886"/>
      <c r="AI148" s="886"/>
      <c r="AJ148" s="886"/>
      <c r="AK148" s="886"/>
      <c r="AL148" s="886"/>
      <c r="AM148" s="886"/>
      <c r="AN148" s="887"/>
      <c r="AR148" s="880"/>
    </row>
    <row r="149" spans="1:80" ht="21" customHeight="1">
      <c r="AE149" s="888"/>
      <c r="AF149" s="889"/>
      <c r="AG149" s="889"/>
      <c r="AH149" s="889"/>
      <c r="AI149" s="889"/>
      <c r="AJ149" s="889"/>
      <c r="AK149" s="889"/>
      <c r="AL149" s="889"/>
      <c r="AM149" s="889"/>
      <c r="AN149" s="890"/>
      <c r="AR149" s="880"/>
    </row>
    <row r="150" spans="1:80" ht="14.85" customHeight="1">
      <c r="AR150" s="880"/>
    </row>
    <row r="151" spans="1:80" ht="14.85" customHeight="1">
      <c r="AR151" s="880"/>
    </row>
    <row r="152" spans="1:80"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181"/>
      <c r="AF152" s="182"/>
      <c r="AG152" s="30"/>
      <c r="AH152" s="30"/>
      <c r="AI152" s="30"/>
      <c r="AJ152" s="30"/>
      <c r="AK152" s="30"/>
      <c r="AL152" s="30"/>
      <c r="AM152" s="30"/>
      <c r="AN152" s="30"/>
      <c r="AO152" s="30"/>
      <c r="AP152" s="30"/>
      <c r="AQ152" s="30"/>
      <c r="AR152" s="30"/>
    </row>
    <row r="153" spans="1:80" ht="35.1" customHeight="1" thickBot="1">
      <c r="J153" s="178"/>
      <c r="K153" s="178"/>
      <c r="L153" s="178"/>
      <c r="M153" s="178"/>
      <c r="N153" s="178"/>
      <c r="O153" s="178"/>
      <c r="P153" s="178"/>
      <c r="Q153" s="178"/>
      <c r="R153" s="178"/>
      <c r="S153" s="178"/>
      <c r="T153" s="178"/>
      <c r="U153" s="178"/>
      <c r="V153" s="178"/>
      <c r="W153" s="869" t="str">
        <f>'Translate&amp;Prices&amp;Logo'!$O$256</f>
        <v>Numer zamówienia</v>
      </c>
      <c r="X153" s="869"/>
      <c r="Y153" s="869"/>
      <c r="Z153" s="869"/>
      <c r="AA153" s="869"/>
      <c r="AB153" s="304"/>
      <c r="AC153" s="866"/>
      <c r="AD153" s="867"/>
      <c r="AE153" s="867"/>
      <c r="AF153" s="867"/>
      <c r="AG153" s="867"/>
      <c r="AH153" s="867"/>
      <c r="AI153" s="867"/>
      <c r="AJ153" s="867"/>
      <c r="AK153" s="867"/>
      <c r="AL153" s="867"/>
      <c r="AM153" s="867"/>
      <c r="AN153" s="867"/>
      <c r="AO153" s="868"/>
      <c r="AR153" s="880" t="s">
        <v>1731</v>
      </c>
    </row>
    <row r="154" spans="1:80" ht="16.350000000000001" customHeight="1">
      <c r="W154" s="865" t="str">
        <f>'Translate&amp;Prices&amp;Logo'!$O$542</f>
        <v>Połączenie 2 profili</v>
      </c>
      <c r="X154" s="865"/>
      <c r="Y154" s="865"/>
      <c r="Z154" s="865"/>
      <c r="AA154" s="865"/>
      <c r="AB154" s="304"/>
      <c r="AC154" s="879" t="str">
        <f>IF(kombinace_5!$H$1=TRUE,"Tak","Nie")</f>
        <v>Nie</v>
      </c>
      <c r="AD154" s="879"/>
      <c r="AE154" s="879"/>
      <c r="AF154" s="879"/>
      <c r="AG154" s="879"/>
      <c r="AH154" s="879"/>
      <c r="AI154" s="879"/>
      <c r="AJ154" s="879"/>
      <c r="AK154" s="879"/>
      <c r="AL154" s="879"/>
      <c r="AM154" s="879"/>
      <c r="AN154" s="879"/>
      <c r="AO154" s="879"/>
      <c r="AR154" s="880"/>
    </row>
    <row r="155" spans="1:80" ht="16.350000000000001" customHeight="1">
      <c r="W155" s="865" t="str">
        <f>'Translate&amp;Prices&amp;Logo'!$O$172</f>
        <v>Rodzaj profilu</v>
      </c>
      <c r="X155" s="865"/>
      <c r="Y155" s="865"/>
      <c r="Z155" s="865"/>
      <c r="AA155" s="865"/>
      <c r="AB155" s="304"/>
      <c r="AC155" s="864">
        <f>IFERROR(VLOOKUP(Ram_5!$H$8,'Translate&amp;Prices&amp;Logo'!AA1:AB282,2,0),Ram_5!$H$8)</f>
        <v>0</v>
      </c>
      <c r="AD155" s="864"/>
      <c r="AE155" s="864"/>
      <c r="AF155" s="864"/>
      <c r="AG155" s="864"/>
      <c r="AH155" s="864"/>
      <c r="AI155" s="864"/>
      <c r="AJ155" s="864"/>
      <c r="AK155" s="864"/>
      <c r="AL155" s="864"/>
      <c r="AM155" s="864"/>
      <c r="AN155" s="864"/>
      <c r="AO155" s="864"/>
      <c r="AR155" s="880"/>
    </row>
    <row r="156" spans="1:80" ht="16.350000000000001" customHeight="1">
      <c r="W156" s="865" t="str">
        <f>'Translate&amp;Prices&amp;Logo'!$O$543</f>
        <v>Szprosy</v>
      </c>
      <c r="X156" s="865"/>
      <c r="Y156" s="865"/>
      <c r="Z156" s="865"/>
      <c r="AA156" s="865"/>
      <c r="AB156" s="304"/>
      <c r="AC156" s="864" t="str">
        <f>IFERROR(VLOOKUP(Ram_5!$AU$10,AU156:AV159,2,0),0)</f>
        <v>Nie</v>
      </c>
      <c r="AD156" s="864"/>
      <c r="AE156" s="864"/>
      <c r="AF156" s="864"/>
      <c r="AG156" s="864"/>
      <c r="AH156" s="864"/>
      <c r="AI156" s="864"/>
      <c r="AJ156" s="864"/>
      <c r="AK156" s="864"/>
      <c r="AL156" s="864"/>
      <c r="AM156" s="864"/>
      <c r="AN156" s="864"/>
      <c r="AO156" s="864"/>
      <c r="AR156" s="880"/>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183"/>
      <c r="X157" s="183"/>
      <c r="Y157" s="183"/>
      <c r="Z157" s="183"/>
      <c r="AA157" s="183"/>
      <c r="AB157" s="304"/>
      <c r="AC157" s="881" t="str">
        <f>'Translate&amp;Prices&amp;Logo'!$O$558</f>
        <v>Poziomo (termin dostawy 4 tygodnie)</v>
      </c>
      <c r="AD157" s="881"/>
      <c r="AE157" s="881"/>
      <c r="AF157" s="881"/>
      <c r="AG157" s="881"/>
      <c r="AH157" s="881"/>
      <c r="AI157" s="881"/>
      <c r="AJ157" s="881" t="str">
        <f>'Translate&amp;Prices&amp;Logo'!$O$559</f>
        <v>Pionowo (termin dostawy 4 tygodnie)</v>
      </c>
      <c r="AK157" s="881"/>
      <c r="AL157" s="881"/>
      <c r="AM157" s="881"/>
      <c r="AN157" s="881"/>
      <c r="AO157" s="881"/>
      <c r="AR157" s="880"/>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865" t="str">
        <f>('Translate&amp;Prices&amp;Logo'!$O$543)&amp;" "&amp;"("&amp;'Translate&amp;Prices&amp;Logo'!$O$174&amp;")"</f>
        <v>Szprosy (Ilość sztuk)</v>
      </c>
      <c r="X158" s="865"/>
      <c r="Y158" s="865"/>
      <c r="Z158" s="865"/>
      <c r="AA158" s="865"/>
      <c r="AB158" s="113"/>
      <c r="AC158" s="864">
        <f>Ram_5!$H$11</f>
        <v>0</v>
      </c>
      <c r="AD158" s="864"/>
      <c r="AE158" s="864"/>
      <c r="AF158" s="864"/>
      <c r="AG158" s="864"/>
      <c r="AH158" s="864"/>
      <c r="AI158" s="864"/>
      <c r="AJ158" s="864">
        <f>Ram_5!$M$11</f>
        <v>0</v>
      </c>
      <c r="AK158" s="864"/>
      <c r="AL158" s="864"/>
      <c r="AM158" s="864"/>
      <c r="AN158" s="864"/>
      <c r="AO158" s="864"/>
      <c r="AR158" s="880"/>
      <c r="AU158">
        <v>2</v>
      </c>
      <c r="AV158" t="str">
        <f>'Translate&amp;Prices&amp;Logo'!$O$559</f>
        <v>Pionowo (termin dostawy 4 tygodnie)</v>
      </c>
      <c r="BX158" s="1">
        <v>3</v>
      </c>
      <c r="BY158" s="1" t="str">
        <f>'Translate&amp;Prices&amp;Logo'!$O$102</f>
        <v>Folia</v>
      </c>
      <c r="CA158"/>
      <c r="CB158"/>
    </row>
    <row r="159" spans="1:80" ht="16.350000000000001" customHeight="1">
      <c r="W159" s="865" t="str">
        <f>'Translate&amp;Prices&amp;Logo'!$O$258</f>
        <v>Typ okucia</v>
      </c>
      <c r="X159" s="865"/>
      <c r="Y159" s="865"/>
      <c r="Z159" s="865"/>
      <c r="AA159" s="865"/>
      <c r="AB159" s="304"/>
      <c r="AC159" s="864">
        <f>IFERROR(VLOOKUP(Ram_5!$AU$9,AZ156:BA157,2,0),0)</f>
        <v>0</v>
      </c>
      <c r="AD159" s="864"/>
      <c r="AE159" s="864"/>
      <c r="AF159" s="864"/>
      <c r="AG159" s="864"/>
      <c r="AH159" s="864"/>
      <c r="AI159" s="864"/>
      <c r="AJ159" s="864"/>
      <c r="AK159" s="864"/>
      <c r="AL159" s="864"/>
      <c r="AM159" s="864"/>
      <c r="AN159" s="864"/>
      <c r="AO159" s="864"/>
      <c r="AR159" s="880"/>
      <c r="AU159">
        <v>3</v>
      </c>
      <c r="AV159" t="str">
        <f>'Translate&amp;Prices&amp;Logo'!$O$560</f>
        <v>Poziomo i pionowo (termin dostawy 4 tygodnie)</v>
      </c>
      <c r="CA159"/>
      <c r="CB159"/>
    </row>
    <row r="160" spans="1:80" ht="16.350000000000001" customHeight="1">
      <c r="W160" s="865" t="str">
        <f>'Translate&amp;Prices&amp;Logo'!$O$544</f>
        <v>Marka okucia</v>
      </c>
      <c r="X160" s="865"/>
      <c r="Y160" s="865"/>
      <c r="Z160" s="865"/>
      <c r="AA160" s="865"/>
      <c r="AB160" s="304"/>
      <c r="AC160" s="864">
        <f>Ram_5!$H$13</f>
        <v>0</v>
      </c>
      <c r="AD160" s="864"/>
      <c r="AE160" s="864"/>
      <c r="AF160" s="864"/>
      <c r="AG160" s="864"/>
      <c r="AH160" s="864"/>
      <c r="AI160" s="864"/>
      <c r="AJ160" s="864"/>
      <c r="AK160" s="864"/>
      <c r="AL160" s="864"/>
      <c r="AM160" s="864"/>
      <c r="AN160" s="864"/>
      <c r="AO160" s="864"/>
      <c r="AR160" s="880"/>
      <c r="CA160"/>
      <c r="CB160"/>
    </row>
    <row r="161" spans="19:80" ht="16.350000000000001" customHeight="1" thickBot="1">
      <c r="W161" s="865" t="str">
        <f>'Translate&amp;Prices&amp;Logo'!$O$546</f>
        <v>Nałożenie</v>
      </c>
      <c r="X161" s="865"/>
      <c r="Y161" s="865"/>
      <c r="Z161" s="865"/>
      <c r="AA161" s="865"/>
      <c r="AB161" s="304"/>
      <c r="AC161" s="864">
        <f>IFERROR(VLOOKUP(Ram_5!$H$14,$BD$12:$BE$29,2,0),0)</f>
        <v>0</v>
      </c>
      <c r="AD161" s="864"/>
      <c r="AE161" s="864"/>
      <c r="AF161" s="864"/>
      <c r="AG161" s="864"/>
      <c r="AH161" s="864"/>
      <c r="AI161" s="864"/>
      <c r="AJ161" s="864"/>
      <c r="AK161" s="864"/>
      <c r="AL161" s="864"/>
      <c r="AM161" s="864"/>
      <c r="AN161" s="864"/>
      <c r="AO161" s="864"/>
      <c r="AR161" s="880"/>
      <c r="CA161"/>
      <c r="CB161"/>
    </row>
    <row r="162" spans="19:80" ht="16.350000000000001" customHeight="1">
      <c r="S162" s="875">
        <f>Ram_5!AR14</f>
        <v>0</v>
      </c>
      <c r="W162" s="865" t="str">
        <f>'Translate&amp;Prices&amp;Logo'!$O$545</f>
        <v>Wariant okucia</v>
      </c>
      <c r="X162" s="865"/>
      <c r="Y162" s="865"/>
      <c r="Z162" s="865"/>
      <c r="AA162" s="865"/>
      <c r="AB162" s="304"/>
      <c r="AC162" s="891">
        <f>IFERROR(VLOOKUP(Ram_5!$H$15,kombinace_1!$ED$2:$EE$760,2,0),Ram_5!$H$15)</f>
        <v>0</v>
      </c>
      <c r="AD162" s="891"/>
      <c r="AE162" s="891"/>
      <c r="AF162" s="891"/>
      <c r="AG162" s="891"/>
      <c r="AH162" s="891"/>
      <c r="AI162" s="891"/>
      <c r="AJ162" s="891" t="str">
        <f>IF(AC162='Translate&amp;Prices&amp;Logo'!C698,VLOOKUP(Ram_5!H17,'Translate&amp;Prices&amp;Logo'!C699:D746,2,0),"")</f>
        <v/>
      </c>
      <c r="AK162" s="891"/>
      <c r="AL162" s="891"/>
      <c r="AM162" s="891"/>
      <c r="AN162" s="891"/>
      <c r="AO162" s="891"/>
      <c r="AR162" s="880"/>
      <c r="CA162"/>
      <c r="CB162"/>
    </row>
    <row r="163" spans="19:80" ht="16.350000000000001" customHeight="1">
      <c r="S163" s="876">
        <f>Ram_1!AR159</f>
        <v>0</v>
      </c>
      <c r="W163" s="865" t="str">
        <f>'Translate&amp;Prices&amp;Logo'!$O$218</f>
        <v>Wybierz pozycję ramki</v>
      </c>
      <c r="X163" s="865"/>
      <c r="Y163" s="865"/>
      <c r="Z163" s="865"/>
      <c r="AA163" s="865"/>
      <c r="AB163" s="864">
        <f>IFERROR(VLOOKUP(Ram_5!$F$16,BI12:BJ23,2,0),0)</f>
        <v>0</v>
      </c>
      <c r="AC163" s="864"/>
      <c r="AD163" s="864"/>
      <c r="AE163" s="864"/>
      <c r="AF163" s="864"/>
      <c r="AG163" s="892" t="str">
        <f>'Translate&amp;Prices&amp;Logo'!$O$232</f>
        <v>Rodzaj drugiej ramki</v>
      </c>
      <c r="AH163" s="892"/>
      <c r="AI163" s="892"/>
      <c r="AJ163" s="864">
        <f>IFERROR(VLOOKUP(Ram_5!$N$16,BM12:BN41,2,0),0)</f>
        <v>0</v>
      </c>
      <c r="AK163" s="864"/>
      <c r="AL163" s="864"/>
      <c r="AM163" s="864"/>
      <c r="AN163" s="864"/>
      <c r="AO163" s="864"/>
      <c r="AR163" s="880"/>
      <c r="CA163"/>
      <c r="CB163"/>
    </row>
    <row r="164" spans="19:80" ht="16.350000000000001" customHeight="1">
      <c r="S164" s="876">
        <f>Ram_1!AR160</f>
        <v>0</v>
      </c>
      <c r="W164" s="865" t="str">
        <f>IF(AC159='Translate&amp;Prices&amp;Logo'!O551,'Translate&amp;Prices&amp;Logo'!O238,'Translate&amp;Prices&amp;Logo'!$O$226)</f>
        <v>Umieszczenie</v>
      </c>
      <c r="X164" s="865"/>
      <c r="Y164" s="865"/>
      <c r="Z164" s="865"/>
      <c r="AA164" s="865"/>
      <c r="AB164" s="304"/>
      <c r="AC164" s="864" t="str">
        <f>IFERROR((IF(Ram_5!H12='Translate&amp;Prices&amp;Logo'!B552,VLOOKUP(Ram_5!$N$16,BM42:BN71,2,0),VLOOKUP(Ram_5!$H$17,BM42:BN65,2,0))),"")</f>
        <v/>
      </c>
      <c r="AD164" s="864"/>
      <c r="AE164" s="864"/>
      <c r="AF164" s="864"/>
      <c r="AG164" s="864"/>
      <c r="AH164" s="864"/>
      <c r="AI164" s="864"/>
      <c r="AJ164" s="864"/>
      <c r="AK164" s="864"/>
      <c r="AL164" s="864"/>
      <c r="AM164" s="864"/>
      <c r="AN164" s="864"/>
      <c r="AO164" s="864"/>
      <c r="AR164" s="880"/>
      <c r="CA164"/>
      <c r="CB164"/>
    </row>
    <row r="165" spans="19:80" ht="16.350000000000001" customHeight="1">
      <c r="S165" s="876">
        <f>Ram_1!AR161</f>
        <v>0</v>
      </c>
      <c r="W165" s="865" t="str">
        <f>'Translate&amp;Prices&amp;Logo'!$O$547</f>
        <v>Zawiasy do podnośników</v>
      </c>
      <c r="X165" s="865"/>
      <c r="Y165" s="865"/>
      <c r="Z165" s="865"/>
      <c r="AA165" s="865"/>
      <c r="AB165" s="304"/>
      <c r="AC165" s="864">
        <f>IFERROR((VLOOKUP(Ram_5!$H$18,$CK$2:$CL$90,2,0)),Ram_5!$H$18)</f>
        <v>0</v>
      </c>
      <c r="AD165" s="864"/>
      <c r="AE165" s="864"/>
      <c r="AF165" s="864"/>
      <c r="AG165" s="864"/>
      <c r="AH165" s="864"/>
      <c r="AI165" s="864"/>
      <c r="AJ165" s="864"/>
      <c r="AK165" s="864"/>
      <c r="AL165" s="864"/>
      <c r="AM165" s="864"/>
      <c r="AN165" s="864"/>
      <c r="AO165" s="864"/>
      <c r="AR165" s="880"/>
      <c r="CA165"/>
      <c r="CB165"/>
    </row>
    <row r="166" spans="19:80" ht="16.350000000000001" customHeight="1">
      <c r="S166" s="876">
        <f>Ram_1!AR162</f>
        <v>0</v>
      </c>
      <c r="W166" s="865" t="str">
        <f>'Translate&amp;Prices&amp;Logo'!$O$223</f>
        <v>Ilość zawiasów na 1 ramkę</v>
      </c>
      <c r="X166" s="865"/>
      <c r="Y166" s="865"/>
      <c r="Z166" s="865"/>
      <c r="AA166" s="865"/>
      <c r="AB166" s="113"/>
      <c r="AC166" s="864">
        <f>Ram_5!$H$19</f>
        <v>0</v>
      </c>
      <c r="AD166" s="864"/>
      <c r="AE166" s="864"/>
      <c r="AF166" s="864"/>
      <c r="AG166" s="864"/>
      <c r="AH166" s="864"/>
      <c r="AI166" s="864"/>
      <c r="AJ166" s="864"/>
      <c r="AK166" s="864"/>
      <c r="AL166" s="864"/>
      <c r="AM166" s="864"/>
      <c r="AN166" s="864"/>
      <c r="AO166" s="864"/>
      <c r="AR166" s="880"/>
      <c r="CA166"/>
      <c r="CB166"/>
    </row>
    <row r="167" spans="19:80" ht="16.350000000000001" customHeight="1">
      <c r="S167" s="877" t="str">
        <f>'Translate&amp;Prices&amp;Logo'!$O$176</f>
        <v>Wysokość</v>
      </c>
      <c r="W167" s="865" t="e">
        <f>'Translate&amp;Prices&amp;Logo'!$O$242&amp;" "&amp;VLOOKUP(Ram_5!H17,kombinace_1!$BY$32:$CC$35,5,0)</f>
        <v>#N/A</v>
      </c>
      <c r="X167" s="865"/>
      <c r="Y167" s="865"/>
      <c r="Z167" s="865"/>
      <c r="AA167" s="865"/>
      <c r="AB167" s="864">
        <f>Ram_5!$F$20</f>
        <v>100</v>
      </c>
      <c r="AC167" s="864"/>
      <c r="AD167" s="864"/>
      <c r="AE167" s="864"/>
      <c r="AF167" s="864"/>
      <c r="AG167" s="865" t="e">
        <f>'Translate&amp;Prices&amp;Logo'!$O$242&amp;" "&amp;VLOOKUP(Ram_4!H17,kombinace_1!$BY$32:$CD$35,6,0)</f>
        <v>#N/A</v>
      </c>
      <c r="AH167" s="865"/>
      <c r="AI167" s="865"/>
      <c r="AJ167" s="865"/>
      <c r="AK167" s="865"/>
      <c r="AL167" s="864">
        <f>Ram_5!$N$20</f>
        <v>100</v>
      </c>
      <c r="AM167" s="864"/>
      <c r="AN167" s="864"/>
      <c r="AO167" s="864"/>
      <c r="AR167" s="880"/>
      <c r="CA167"/>
      <c r="CB167"/>
    </row>
    <row r="168" spans="19:80" ht="16.350000000000001" customHeight="1">
      <c r="S168" s="877">
        <f>Ram_1!AR164</f>
        <v>0</v>
      </c>
      <c r="W168" s="308" t="str">
        <f>'Translate&amp;Prices&amp;Logo'!$O$653</f>
        <v>Wypełnienie z siatki</v>
      </c>
      <c r="X168" s="183"/>
      <c r="Y168" s="183"/>
      <c r="Z168" s="183"/>
      <c r="AA168" s="183"/>
      <c r="AB168" s="304"/>
      <c r="AC168" s="863" t="str">
        <f>IF(kombinace_5!FC2=TRUE,"Tak","Nie")</f>
        <v>Nie</v>
      </c>
      <c r="AD168" s="863"/>
      <c r="AE168" s="863"/>
      <c r="AF168" s="863"/>
      <c r="AG168" s="863"/>
      <c r="AH168" s="863"/>
      <c r="AI168" s="863"/>
      <c r="AJ168" s="863"/>
      <c r="AK168" s="863"/>
      <c r="AL168" s="863"/>
      <c r="AM168" s="863"/>
      <c r="AN168" s="863"/>
      <c r="AO168" s="863"/>
      <c r="AR168" s="880"/>
      <c r="CA168"/>
      <c r="CB168"/>
    </row>
    <row r="169" spans="19:80" ht="16.350000000000001" customHeight="1">
      <c r="S169" s="877">
        <f>Ram_1!AR165</f>
        <v>0</v>
      </c>
      <c r="W169" s="865" t="str">
        <f>'Translate&amp;Prices&amp;Logo'!$O$173</f>
        <v>Rodzaj szkła</v>
      </c>
      <c r="X169" s="865"/>
      <c r="Y169" s="865"/>
      <c r="Z169" s="865"/>
      <c r="AA169" s="865"/>
      <c r="AB169" s="304"/>
      <c r="AC169" s="864" t="str">
        <f>IFERROR(VLOOKUP(kombinace_5!$V$1,BX156:BY158,2,0),0)</f>
        <v>Bez modyfikacji</v>
      </c>
      <c r="AD169" s="864"/>
      <c r="AE169" s="864"/>
      <c r="AF169" s="864"/>
      <c r="AG169" s="864"/>
      <c r="AH169" s="864"/>
      <c r="AI169" s="864"/>
      <c r="AJ169" s="864"/>
      <c r="AK169" s="864"/>
      <c r="AL169" s="864"/>
      <c r="AM169" s="864"/>
      <c r="AN169" s="864"/>
      <c r="AO169" s="864"/>
      <c r="AR169" s="880"/>
      <c r="CA169"/>
      <c r="CB169"/>
    </row>
    <row r="170" spans="19:80" ht="16.350000000000001" customHeight="1">
      <c r="S170" s="877">
        <f>Ram_1!AR166</f>
        <v>0</v>
      </c>
      <c r="W170" s="865" t="str">
        <f>'Translate&amp;Prices&amp;Logo'!$O$562</f>
        <v>Rodzaj folii</v>
      </c>
      <c r="X170" s="865"/>
      <c r="Y170" s="865"/>
      <c r="Z170" s="865"/>
      <c r="AA170" s="865"/>
      <c r="AB170" s="304"/>
      <c r="AC170" s="864">
        <f>IFERROR(VLOOKUP(Ram_5!$H$24,CA12:CB29,2,0),0)</f>
        <v>0</v>
      </c>
      <c r="AD170" s="864"/>
      <c r="AE170" s="864"/>
      <c r="AF170" s="864"/>
      <c r="AG170" s="864"/>
      <c r="AH170" s="864"/>
      <c r="AI170" s="864"/>
      <c r="AJ170" s="864"/>
      <c r="AK170" s="864"/>
      <c r="AL170" s="864"/>
      <c r="AM170" s="864"/>
      <c r="AN170" s="864"/>
      <c r="AO170" s="864"/>
      <c r="AR170" s="880"/>
      <c r="CA170"/>
      <c r="CB170"/>
    </row>
    <row r="171" spans="19:80" ht="16.350000000000001" customHeight="1" thickBot="1">
      <c r="S171" s="878">
        <f>Ram_1!AR167</f>
        <v>0</v>
      </c>
      <c r="W171" s="865" t="str">
        <f>'Translate&amp;Prices&amp;Logo'!$O$173</f>
        <v>Rodzaj szkła</v>
      </c>
      <c r="X171" s="865"/>
      <c r="Y171" s="865"/>
      <c r="Z171" s="865"/>
      <c r="AA171" s="865"/>
      <c r="AB171" s="304"/>
      <c r="AC171" s="864">
        <f>IFERROR(VLOOKUP(Ram_5!$H$25,'Translate&amp;Prices&amp;Logo'!$AH$1:$AI$165,2,0),Ram_5!$H$25)</f>
        <v>0</v>
      </c>
      <c r="AD171" s="864"/>
      <c r="AE171" s="864"/>
      <c r="AF171" s="864"/>
      <c r="AG171" s="864"/>
      <c r="AH171" s="864"/>
      <c r="AI171" s="864"/>
      <c r="AJ171" s="864"/>
      <c r="AK171" s="864"/>
      <c r="AL171" s="864"/>
      <c r="AM171" s="864"/>
      <c r="AN171" s="864"/>
      <c r="AO171" s="864"/>
      <c r="AR171" s="880"/>
    </row>
    <row r="172" spans="19:80" ht="16.350000000000001" customHeight="1">
      <c r="W172" s="865" t="str">
        <f>'Translate&amp;Prices&amp;Logo'!$O$549</f>
        <v>Rozstaw uchwytu (mm)</v>
      </c>
      <c r="X172" s="865"/>
      <c r="Y172" s="865"/>
      <c r="Z172" s="865"/>
      <c r="AA172" s="865"/>
      <c r="AB172" s="304"/>
      <c r="AC172" s="864">
        <f>Ram_5!$H$26</f>
        <v>0</v>
      </c>
      <c r="AD172" s="864"/>
      <c r="AE172" s="864"/>
      <c r="AF172" s="864"/>
      <c r="AG172" s="864"/>
      <c r="AH172" s="864"/>
      <c r="AI172" s="864"/>
      <c r="AJ172" s="864"/>
      <c r="AK172" s="864"/>
      <c r="AL172" s="864"/>
      <c r="AM172" s="864"/>
      <c r="AN172" s="864"/>
      <c r="AO172" s="864"/>
      <c r="AR172" s="880"/>
    </row>
    <row r="173" spans="19:80" ht="16.350000000000001" customHeight="1">
      <c r="W173" s="865" t="str">
        <f>'Translate&amp;Prices&amp;Logo'!$O$550</f>
        <v>Umieszczenie uchwytu</v>
      </c>
      <c r="X173" s="865"/>
      <c r="Y173" s="865"/>
      <c r="Z173" s="865"/>
      <c r="AA173" s="865"/>
      <c r="AB173" s="304"/>
      <c r="AC173" s="864">
        <f>IFERROR(VLOOKUP(Ram_5!$H$27,BM62:BN65,2,0),0)</f>
        <v>0</v>
      </c>
      <c r="AD173" s="864"/>
      <c r="AE173" s="864"/>
      <c r="AF173" s="864"/>
      <c r="AG173" s="864"/>
      <c r="AH173" s="864"/>
      <c r="AI173" s="864"/>
      <c r="AJ173" s="864"/>
      <c r="AK173" s="864"/>
      <c r="AL173" s="864"/>
      <c r="AM173" s="864"/>
      <c r="AN173" s="864"/>
      <c r="AO173" s="864"/>
      <c r="AR173" s="880"/>
    </row>
    <row r="174" spans="19:80" ht="16.350000000000001" customHeight="1">
      <c r="W174" s="865" t="str">
        <f>('Translate&amp;Prices&amp;Logo'!$O$174)&amp;" "&amp;"-"&amp;" "&amp;('Translate&amp;Prices&amp;Logo'!$O$169)&amp;" "&amp;" "&amp;5</f>
        <v>Ilość sztuk - Ramka  5</v>
      </c>
      <c r="X174" s="865"/>
      <c r="Y174" s="865"/>
      <c r="Z174" s="865"/>
      <c r="AA174" s="865"/>
      <c r="AB174" s="304"/>
      <c r="AC174" s="864">
        <f>Ram_5!$H$28</f>
        <v>0</v>
      </c>
      <c r="AD174" s="864"/>
      <c r="AE174" s="864"/>
      <c r="AF174" s="864"/>
      <c r="AG174" s="864"/>
      <c r="AH174" s="864"/>
      <c r="AI174" s="864"/>
      <c r="AJ174" s="864"/>
      <c r="AK174" s="864"/>
      <c r="AL174" s="864"/>
      <c r="AM174" s="864"/>
      <c r="AN174" s="864"/>
      <c r="AO174" s="864"/>
      <c r="AR174" s="880"/>
    </row>
    <row r="175" spans="19:80" ht="16.350000000000001" customHeight="1">
      <c r="AE175" s="1"/>
      <c r="AF175" s="1"/>
      <c r="AR175" s="880"/>
    </row>
    <row r="176" spans="19:80" ht="14.85" customHeight="1">
      <c r="AR176" s="880"/>
    </row>
    <row r="177" spans="1:80" ht="14.85" customHeight="1">
      <c r="W177" s="870" t="s">
        <v>1725</v>
      </c>
      <c r="X177" s="870"/>
      <c r="Y177" s="870"/>
      <c r="Z177" s="870"/>
      <c r="AE177" s="870" t="s">
        <v>1726</v>
      </c>
      <c r="AF177" s="870"/>
      <c r="AG177" s="870"/>
      <c r="AH177" s="870"/>
      <c r="AR177" s="880"/>
    </row>
    <row r="178" spans="1:80" ht="14.85" customHeight="1">
      <c r="AE178" s="882"/>
      <c r="AF178" s="883"/>
      <c r="AG178" s="883"/>
      <c r="AH178" s="883"/>
      <c r="AI178" s="883"/>
      <c r="AJ178" s="883"/>
      <c r="AK178" s="883"/>
      <c r="AL178" s="883"/>
      <c r="AM178" s="883"/>
      <c r="AN178" s="884"/>
      <c r="AR178" s="880"/>
    </row>
    <row r="179" spans="1:80" ht="14.85" customHeight="1">
      <c r="AE179" s="885"/>
      <c r="AF179" s="886"/>
      <c r="AG179" s="886"/>
      <c r="AH179" s="886"/>
      <c r="AI179" s="886"/>
      <c r="AJ179" s="886"/>
      <c r="AK179" s="886"/>
      <c r="AL179" s="886"/>
      <c r="AM179" s="886"/>
      <c r="AN179" s="887"/>
      <c r="AR179" s="880"/>
    </row>
    <row r="180" spans="1:80" ht="14.85" customHeight="1">
      <c r="AE180" s="885"/>
      <c r="AF180" s="886"/>
      <c r="AG180" s="886"/>
      <c r="AH180" s="886"/>
      <c r="AI180" s="886"/>
      <c r="AJ180" s="886"/>
      <c r="AK180" s="886"/>
      <c r="AL180" s="886"/>
      <c r="AM180" s="886"/>
      <c r="AN180" s="887"/>
      <c r="AR180" s="880"/>
    </row>
    <row r="181" spans="1:80" ht="14.85" customHeight="1">
      <c r="D181" s="894">
        <f>IF(OR(Ram_5!$AC$25="x",Ram_5!$AJ$26="x",Ram_5!$AC$9="x",Ram_5!$AJ$7="x",Ram_5!$AB$16="x",Ram_5!$AM$23="x",Ram_5!$AN$19="x",Ram_5!$AD$10="x"),'Translate&amp;Prices&amp;Logo'!$B$588,0)</f>
        <v>0</v>
      </c>
      <c r="E181" s="894"/>
      <c r="F181" s="894"/>
      <c r="G181" s="894"/>
      <c r="H181" s="894"/>
      <c r="I181" s="894"/>
      <c r="J181" s="894"/>
      <c r="K181" s="894"/>
      <c r="L181" s="894"/>
      <c r="M181" s="894"/>
      <c r="N181" s="894"/>
      <c r="O181" s="894"/>
      <c r="P181" s="894"/>
      <c r="AE181" s="885"/>
      <c r="AF181" s="886"/>
      <c r="AG181" s="886"/>
      <c r="AH181" s="886"/>
      <c r="AI181" s="886"/>
      <c r="AJ181" s="886"/>
      <c r="AK181" s="886"/>
      <c r="AL181" s="886"/>
      <c r="AM181" s="886"/>
      <c r="AN181" s="887"/>
      <c r="AR181" s="880"/>
    </row>
    <row r="182" spans="1:80" ht="14.85" customHeight="1">
      <c r="AE182" s="885"/>
      <c r="AF182" s="886"/>
      <c r="AG182" s="886"/>
      <c r="AH182" s="886"/>
      <c r="AI182" s="886"/>
      <c r="AJ182" s="886"/>
      <c r="AK182" s="886"/>
      <c r="AL182" s="886"/>
      <c r="AM182" s="886"/>
      <c r="AN182" s="887"/>
      <c r="AR182" s="880"/>
    </row>
    <row r="183" spans="1:80" ht="14.85" customHeight="1" thickBot="1">
      <c r="AE183" s="885"/>
      <c r="AF183" s="886"/>
      <c r="AG183" s="886"/>
      <c r="AH183" s="886"/>
      <c r="AI183" s="886"/>
      <c r="AJ183" s="886"/>
      <c r="AK183" s="886"/>
      <c r="AL183" s="886"/>
      <c r="AM183" s="886"/>
      <c r="AN183" s="887"/>
      <c r="AR183" s="880"/>
    </row>
    <row r="184" spans="1:80" ht="14.85" customHeight="1" thickBot="1">
      <c r="G184" s="871" t="str">
        <f>'Translate&amp;Prices&amp;Logo'!$O$175</f>
        <v>Szerokość</v>
      </c>
      <c r="H184" s="872">
        <f>Ram_1!AG174</f>
        <v>0</v>
      </c>
      <c r="I184" s="872">
        <f>Ram_1!AH174</f>
        <v>0</v>
      </c>
      <c r="J184" s="873">
        <f>Ram_5!AI30</f>
        <v>0</v>
      </c>
      <c r="K184" s="873">
        <f>Ram_1!AJ174</f>
        <v>0</v>
      </c>
      <c r="L184" s="874">
        <f>Ram_1!AK174</f>
        <v>0</v>
      </c>
      <c r="AE184" s="885"/>
      <c r="AF184" s="886"/>
      <c r="AG184" s="886"/>
      <c r="AH184" s="886"/>
      <c r="AI184" s="886"/>
      <c r="AJ184" s="886"/>
      <c r="AK184" s="886"/>
      <c r="AL184" s="886"/>
      <c r="AM184" s="886"/>
      <c r="AN184" s="887"/>
      <c r="AR184" s="880"/>
    </row>
    <row r="185" spans="1:80" ht="21" customHeight="1">
      <c r="AE185" s="888"/>
      <c r="AF185" s="889"/>
      <c r="AG185" s="889"/>
      <c r="AH185" s="889"/>
      <c r="AI185" s="889"/>
      <c r="AJ185" s="889"/>
      <c r="AK185" s="889"/>
      <c r="AL185" s="889"/>
      <c r="AM185" s="889"/>
      <c r="AN185" s="890"/>
      <c r="AR185" s="880"/>
    </row>
    <row r="186" spans="1:80" ht="14.85" customHeight="1">
      <c r="AR186" s="880"/>
    </row>
    <row r="187" spans="1:80" ht="14.85" customHeight="1">
      <c r="AR187" s="880"/>
    </row>
    <row r="188" spans="1:80"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181"/>
      <c r="AF188" s="182"/>
      <c r="AG188" s="30"/>
      <c r="AH188" s="30"/>
      <c r="AI188" s="30"/>
      <c r="AJ188" s="30"/>
      <c r="AK188" s="30"/>
      <c r="AL188" s="30"/>
      <c r="AM188" s="30"/>
      <c r="AN188" s="30"/>
      <c r="AO188" s="30"/>
      <c r="AP188" s="30"/>
      <c r="AQ188" s="30"/>
      <c r="AR188" s="30"/>
    </row>
    <row r="189" spans="1:80" ht="35.1" customHeight="1" thickBot="1">
      <c r="J189" s="178"/>
      <c r="K189" s="178"/>
      <c r="L189" s="178"/>
      <c r="M189" s="178"/>
      <c r="N189" s="178"/>
      <c r="O189" s="178"/>
      <c r="P189" s="178"/>
      <c r="Q189" s="178"/>
      <c r="R189" s="178"/>
      <c r="S189" s="178"/>
      <c r="T189" s="178"/>
      <c r="U189" s="178"/>
      <c r="V189" s="178"/>
      <c r="W189" s="869" t="str">
        <f>'Translate&amp;Prices&amp;Logo'!$O$256</f>
        <v>Numer zamówienia</v>
      </c>
      <c r="X189" s="869"/>
      <c r="Y189" s="869"/>
      <c r="Z189" s="869"/>
      <c r="AA189" s="869"/>
      <c r="AB189" s="304"/>
      <c r="AC189" s="866"/>
      <c r="AD189" s="867"/>
      <c r="AE189" s="867"/>
      <c r="AF189" s="867"/>
      <c r="AG189" s="867"/>
      <c r="AH189" s="867"/>
      <c r="AI189" s="867"/>
      <c r="AJ189" s="867"/>
      <c r="AK189" s="867"/>
      <c r="AL189" s="867"/>
      <c r="AM189" s="867"/>
      <c r="AN189" s="867"/>
      <c r="AO189" s="868"/>
      <c r="AR189" s="880" t="s">
        <v>1732</v>
      </c>
    </row>
    <row r="190" spans="1:80" ht="16.350000000000001" customHeight="1">
      <c r="W190" s="865" t="str">
        <f>'Translate&amp;Prices&amp;Logo'!$O$542</f>
        <v>Połączenie 2 profili</v>
      </c>
      <c r="X190" s="865"/>
      <c r="Y190" s="865"/>
      <c r="Z190" s="865"/>
      <c r="AA190" s="865"/>
      <c r="AB190" s="304"/>
      <c r="AC190" s="879" t="str">
        <f>IF(kombinace_6!$H$1=TRUE,"Tak","Nie")</f>
        <v>Nie</v>
      </c>
      <c r="AD190" s="879"/>
      <c r="AE190" s="879"/>
      <c r="AF190" s="879"/>
      <c r="AG190" s="879"/>
      <c r="AH190" s="879"/>
      <c r="AI190" s="879"/>
      <c r="AJ190" s="879"/>
      <c r="AK190" s="879"/>
      <c r="AL190" s="879"/>
      <c r="AM190" s="879"/>
      <c r="AN190" s="879"/>
      <c r="AO190" s="879"/>
      <c r="AR190" s="880"/>
    </row>
    <row r="191" spans="1:80" ht="16.350000000000001" customHeight="1">
      <c r="W191" s="865" t="str">
        <f>'Translate&amp;Prices&amp;Logo'!$O$172</f>
        <v>Rodzaj profilu</v>
      </c>
      <c r="X191" s="865"/>
      <c r="Y191" s="865"/>
      <c r="Z191" s="865"/>
      <c r="AA191" s="865"/>
      <c r="AB191" s="304"/>
      <c r="AC191" s="864">
        <f>IFERROR(VLOOKUP(Ram_6!$H$8,'Translate&amp;Prices&amp;Logo'!AA1:AB282,2,0),Ram_6!$H$8)</f>
        <v>0</v>
      </c>
      <c r="AD191" s="864"/>
      <c r="AE191" s="864"/>
      <c r="AF191" s="864"/>
      <c r="AG191" s="864"/>
      <c r="AH191" s="864"/>
      <c r="AI191" s="864"/>
      <c r="AJ191" s="864"/>
      <c r="AK191" s="864"/>
      <c r="AL191" s="864"/>
      <c r="AM191" s="864"/>
      <c r="AN191" s="864"/>
      <c r="AO191" s="864"/>
      <c r="AR191" s="880"/>
    </row>
    <row r="192" spans="1:80" ht="16.350000000000001" customHeight="1">
      <c r="W192" s="865" t="str">
        <f>'Translate&amp;Prices&amp;Logo'!$O$543</f>
        <v>Szprosy</v>
      </c>
      <c r="X192" s="865"/>
      <c r="Y192" s="865"/>
      <c r="Z192" s="865"/>
      <c r="AA192" s="865"/>
      <c r="AB192" s="304"/>
      <c r="AC192" s="864" t="str">
        <f>IFERROR(VLOOKUP(Ram_6!$AU$10,AU192:AV195,2,0),0)</f>
        <v>Nie</v>
      </c>
      <c r="AD192" s="864"/>
      <c r="AE192" s="864"/>
      <c r="AF192" s="864"/>
      <c r="AG192" s="864"/>
      <c r="AH192" s="864"/>
      <c r="AI192" s="864"/>
      <c r="AJ192" s="864"/>
      <c r="AK192" s="864"/>
      <c r="AL192" s="864"/>
      <c r="AM192" s="864"/>
      <c r="AN192" s="864"/>
      <c r="AO192" s="864"/>
      <c r="AR192" s="880"/>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183"/>
      <c r="X193" s="183"/>
      <c r="Y193" s="183"/>
      <c r="Z193" s="183"/>
      <c r="AA193" s="183"/>
      <c r="AB193" s="304"/>
      <c r="AC193" s="881" t="str">
        <f>'Translate&amp;Prices&amp;Logo'!$O$558</f>
        <v>Poziomo (termin dostawy 4 tygodnie)</v>
      </c>
      <c r="AD193" s="881"/>
      <c r="AE193" s="881"/>
      <c r="AF193" s="881"/>
      <c r="AG193" s="881"/>
      <c r="AH193" s="881"/>
      <c r="AI193" s="881"/>
      <c r="AJ193" s="881" t="str">
        <f>'Translate&amp;Prices&amp;Logo'!$O$559</f>
        <v>Pionowo (termin dostawy 4 tygodnie)</v>
      </c>
      <c r="AK193" s="881"/>
      <c r="AL193" s="881"/>
      <c r="AM193" s="881"/>
      <c r="AN193" s="881"/>
      <c r="AO193" s="881"/>
      <c r="AR193" s="880"/>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865" t="str">
        <f>('Translate&amp;Prices&amp;Logo'!$O$543)&amp;" "&amp;"("&amp;'Translate&amp;Prices&amp;Logo'!$O$174&amp;")"</f>
        <v>Szprosy (Ilość sztuk)</v>
      </c>
      <c r="X194" s="865"/>
      <c r="Y194" s="865"/>
      <c r="Z194" s="865"/>
      <c r="AA194" s="865"/>
      <c r="AB194" s="113"/>
      <c r="AC194" s="864">
        <f>Ram_6!$H$11</f>
        <v>0</v>
      </c>
      <c r="AD194" s="864"/>
      <c r="AE194" s="864"/>
      <c r="AF194" s="864"/>
      <c r="AG194" s="864"/>
      <c r="AH194" s="864"/>
      <c r="AI194" s="864"/>
      <c r="AJ194" s="864">
        <f>Ram_6!$M$11</f>
        <v>0</v>
      </c>
      <c r="AK194" s="864"/>
      <c r="AL194" s="864"/>
      <c r="AM194" s="864"/>
      <c r="AN194" s="864"/>
      <c r="AO194" s="864"/>
      <c r="AR194" s="880"/>
      <c r="AU194">
        <v>2</v>
      </c>
      <c r="AV194" t="str">
        <f>'Translate&amp;Prices&amp;Logo'!$O$559</f>
        <v>Pionowo (termin dostawy 4 tygodnie)</v>
      </c>
      <c r="BX194" s="1">
        <v>3</v>
      </c>
      <c r="BY194" s="1" t="str">
        <f>'Translate&amp;Prices&amp;Logo'!$O$102</f>
        <v>Folia</v>
      </c>
      <c r="CA194"/>
      <c r="CB194"/>
    </row>
    <row r="195" spans="19:80" ht="16.350000000000001" customHeight="1">
      <c r="W195" s="865" t="str">
        <f>'Translate&amp;Prices&amp;Logo'!$O$258</f>
        <v>Typ okucia</v>
      </c>
      <c r="X195" s="865"/>
      <c r="Y195" s="865"/>
      <c r="Z195" s="865"/>
      <c r="AA195" s="865"/>
      <c r="AB195" s="304"/>
      <c r="AC195" s="864">
        <f>IFERROR(VLOOKUP(Ram_6!$AU$9,AZ192:BA193,2,0),0)</f>
        <v>0</v>
      </c>
      <c r="AD195" s="864"/>
      <c r="AE195" s="864"/>
      <c r="AF195" s="864"/>
      <c r="AG195" s="864"/>
      <c r="AH195" s="864"/>
      <c r="AI195" s="864"/>
      <c r="AJ195" s="864"/>
      <c r="AK195" s="864"/>
      <c r="AL195" s="864"/>
      <c r="AM195" s="864"/>
      <c r="AN195" s="864"/>
      <c r="AO195" s="864"/>
      <c r="AR195" s="880"/>
      <c r="AU195">
        <v>3</v>
      </c>
      <c r="AV195" t="str">
        <f>'Translate&amp;Prices&amp;Logo'!$O$560</f>
        <v>Poziomo i pionowo (termin dostawy 4 tygodnie)</v>
      </c>
      <c r="CA195"/>
      <c r="CB195"/>
    </row>
    <row r="196" spans="19:80" ht="16.350000000000001" customHeight="1">
      <c r="W196" s="865" t="str">
        <f>'Translate&amp;Prices&amp;Logo'!$O$544</f>
        <v>Marka okucia</v>
      </c>
      <c r="X196" s="865"/>
      <c r="Y196" s="865"/>
      <c r="Z196" s="865"/>
      <c r="AA196" s="865"/>
      <c r="AB196" s="304"/>
      <c r="AC196" s="864">
        <f>Ram_6!$H$13</f>
        <v>0</v>
      </c>
      <c r="AD196" s="864"/>
      <c r="AE196" s="864"/>
      <c r="AF196" s="864"/>
      <c r="AG196" s="864"/>
      <c r="AH196" s="864"/>
      <c r="AI196" s="864"/>
      <c r="AJ196" s="864"/>
      <c r="AK196" s="864"/>
      <c r="AL196" s="864"/>
      <c r="AM196" s="864"/>
      <c r="AN196" s="864"/>
      <c r="AO196" s="864"/>
      <c r="AR196" s="880"/>
      <c r="CA196"/>
      <c r="CB196"/>
    </row>
    <row r="197" spans="19:80" ht="16.350000000000001" customHeight="1" thickBot="1">
      <c r="W197" s="865" t="str">
        <f>'Translate&amp;Prices&amp;Logo'!$O$546</f>
        <v>Nałożenie</v>
      </c>
      <c r="X197" s="865"/>
      <c r="Y197" s="865"/>
      <c r="Z197" s="865"/>
      <c r="AA197" s="865"/>
      <c r="AB197" s="304"/>
      <c r="AC197" s="864">
        <f>IFERROR(VLOOKUP(Ram_6!$H$14,$BD$12:$BE$29,2,0),0)</f>
        <v>0</v>
      </c>
      <c r="AD197" s="864"/>
      <c r="AE197" s="864"/>
      <c r="AF197" s="864"/>
      <c r="AG197" s="864"/>
      <c r="AH197" s="864"/>
      <c r="AI197" s="864"/>
      <c r="AJ197" s="864"/>
      <c r="AK197" s="864"/>
      <c r="AL197" s="864"/>
      <c r="AM197" s="864"/>
      <c r="AN197" s="864"/>
      <c r="AO197" s="864"/>
      <c r="AR197" s="880"/>
      <c r="CA197"/>
      <c r="CB197"/>
    </row>
    <row r="198" spans="19:80" ht="16.350000000000001" customHeight="1">
      <c r="S198" s="875">
        <f>Ram_6!AR14</f>
        <v>0</v>
      </c>
      <c r="W198" s="865" t="str">
        <f>'Translate&amp;Prices&amp;Logo'!$O$545</f>
        <v>Wariant okucia</v>
      </c>
      <c r="X198" s="865"/>
      <c r="Y198" s="865"/>
      <c r="Z198" s="865"/>
      <c r="AA198" s="865"/>
      <c r="AB198" s="304"/>
      <c r="AC198" s="891">
        <f>IFERROR(VLOOKUP(Ram_6!$H$15,kombinace_1!$ED$2:$EE$760,2,0),Ram_6!$H$15)</f>
        <v>0</v>
      </c>
      <c r="AD198" s="891"/>
      <c r="AE198" s="891"/>
      <c r="AF198" s="891"/>
      <c r="AG198" s="891"/>
      <c r="AH198" s="891"/>
      <c r="AI198" s="891"/>
      <c r="AJ198" s="891" t="str">
        <f>IF(AC198='Translate&amp;Prices&amp;Logo'!C698,VLOOKUP(Ram_6!H17,'Translate&amp;Prices&amp;Logo'!C699:D746,2,0),"")</f>
        <v/>
      </c>
      <c r="AK198" s="891"/>
      <c r="AL198" s="891"/>
      <c r="AM198" s="891"/>
      <c r="AN198" s="891"/>
      <c r="AO198" s="891"/>
      <c r="AR198" s="880"/>
      <c r="CA198"/>
      <c r="CB198"/>
    </row>
    <row r="199" spans="19:80" ht="16.350000000000001" customHeight="1">
      <c r="S199" s="876">
        <f>Ram_1!AR195</f>
        <v>0</v>
      </c>
      <c r="W199" s="865" t="str">
        <f>'Translate&amp;Prices&amp;Logo'!$O$218</f>
        <v>Wybierz pozycję ramki</v>
      </c>
      <c r="X199" s="865"/>
      <c r="Y199" s="865"/>
      <c r="Z199" s="865"/>
      <c r="AA199" s="865"/>
      <c r="AB199" s="864">
        <f>IFERROR(VLOOKUP(Ram_6!$F$16,BI12:BJ23,2,0),0)</f>
        <v>0</v>
      </c>
      <c r="AC199" s="864"/>
      <c r="AD199" s="864"/>
      <c r="AE199" s="864"/>
      <c r="AF199" s="864"/>
      <c r="AG199" s="892" t="str">
        <f>'Translate&amp;Prices&amp;Logo'!$O$232</f>
        <v>Rodzaj drugiej ramki</v>
      </c>
      <c r="AH199" s="892"/>
      <c r="AI199" s="892"/>
      <c r="AJ199" s="864">
        <f>IFERROR(VLOOKUP(Ram_6!$N$16,BM12:BN41,2,0),0)</f>
        <v>0</v>
      </c>
      <c r="AK199" s="864"/>
      <c r="AL199" s="864"/>
      <c r="AM199" s="864"/>
      <c r="AN199" s="864"/>
      <c r="AO199" s="864"/>
      <c r="AR199" s="880"/>
      <c r="CA199"/>
      <c r="CB199"/>
    </row>
    <row r="200" spans="19:80" ht="16.350000000000001" customHeight="1">
      <c r="S200" s="876">
        <f>Ram_1!AR196</f>
        <v>0</v>
      </c>
      <c r="W200" s="865" t="str">
        <f>IF(AC195='Translate&amp;Prices&amp;Logo'!O551,'Translate&amp;Prices&amp;Logo'!O238,'Translate&amp;Prices&amp;Logo'!$O$226)</f>
        <v>Umieszczenie</v>
      </c>
      <c r="X200" s="865"/>
      <c r="Y200" s="865"/>
      <c r="Z200" s="865"/>
      <c r="AA200" s="865"/>
      <c r="AB200" s="304"/>
      <c r="AC200" s="864" t="str">
        <f>IFERROR((IF(Ram_6!H12='Translate&amp;Prices&amp;Logo'!B552,VLOOKUP(Ram_6!$N$16,BM42:BN71,2,0),VLOOKUP(Ram_6!$H$17,BM42:BN65,2,0))),"")</f>
        <v/>
      </c>
      <c r="AD200" s="864"/>
      <c r="AE200" s="864"/>
      <c r="AF200" s="864"/>
      <c r="AG200" s="864"/>
      <c r="AH200" s="864"/>
      <c r="AI200" s="864"/>
      <c r="AJ200" s="864"/>
      <c r="AK200" s="864"/>
      <c r="AL200" s="864"/>
      <c r="AM200" s="864"/>
      <c r="AN200" s="864"/>
      <c r="AO200" s="864"/>
      <c r="AR200" s="880"/>
      <c r="CA200"/>
      <c r="CB200"/>
    </row>
    <row r="201" spans="19:80" ht="16.350000000000001" customHeight="1">
      <c r="S201" s="876">
        <f>Ram_1!AR197</f>
        <v>0</v>
      </c>
      <c r="W201" s="865" t="str">
        <f>'Translate&amp;Prices&amp;Logo'!$O$547</f>
        <v>Zawiasy do podnośników</v>
      </c>
      <c r="X201" s="865"/>
      <c r="Y201" s="865"/>
      <c r="Z201" s="865"/>
      <c r="AA201" s="865"/>
      <c r="AB201" s="304"/>
      <c r="AC201" s="864">
        <f>IFERROR((VLOOKUP(Ram_6!$H$18,$CK$2:$CL$90,2,0)),Ram_6!$H$18)</f>
        <v>0</v>
      </c>
      <c r="AD201" s="864"/>
      <c r="AE201" s="864"/>
      <c r="AF201" s="864"/>
      <c r="AG201" s="864"/>
      <c r="AH201" s="864"/>
      <c r="AI201" s="864"/>
      <c r="AJ201" s="864"/>
      <c r="AK201" s="864"/>
      <c r="AL201" s="864"/>
      <c r="AM201" s="864"/>
      <c r="AN201" s="864"/>
      <c r="AO201" s="864"/>
      <c r="AR201" s="880"/>
      <c r="CA201"/>
      <c r="CB201"/>
    </row>
    <row r="202" spans="19:80" ht="16.350000000000001" customHeight="1">
      <c r="S202" s="876">
        <f>Ram_1!AR198</f>
        <v>0</v>
      </c>
      <c r="W202" s="865" t="str">
        <f>'Translate&amp;Prices&amp;Logo'!$O$223</f>
        <v>Ilość zawiasów na 1 ramkę</v>
      </c>
      <c r="X202" s="865"/>
      <c r="Y202" s="865"/>
      <c r="Z202" s="865"/>
      <c r="AA202" s="865"/>
      <c r="AB202" s="113"/>
      <c r="AC202" s="864">
        <f>Ram_6!$H$19</f>
        <v>0</v>
      </c>
      <c r="AD202" s="864"/>
      <c r="AE202" s="864"/>
      <c r="AF202" s="864"/>
      <c r="AG202" s="864"/>
      <c r="AH202" s="864"/>
      <c r="AI202" s="864"/>
      <c r="AJ202" s="864"/>
      <c r="AK202" s="864"/>
      <c r="AL202" s="864"/>
      <c r="AM202" s="864"/>
      <c r="AN202" s="864"/>
      <c r="AO202" s="864"/>
      <c r="AR202" s="880"/>
      <c r="CA202"/>
      <c r="CB202"/>
    </row>
    <row r="203" spans="19:80" ht="16.350000000000001" customHeight="1">
      <c r="S203" s="877" t="str">
        <f>'Translate&amp;Prices&amp;Logo'!$O$176</f>
        <v>Wysokość</v>
      </c>
      <c r="W203" s="865" t="e">
        <f>'Translate&amp;Prices&amp;Logo'!$O$242&amp;" "&amp;VLOOKUP(Ram_6!H17,kombinace_1!$BY$32:$CC$35,5,0)</f>
        <v>#N/A</v>
      </c>
      <c r="X203" s="865"/>
      <c r="Y203" s="865"/>
      <c r="Z203" s="865"/>
      <c r="AA203" s="865"/>
      <c r="AB203" s="864">
        <f>Ram_6!$F$20</f>
        <v>100</v>
      </c>
      <c r="AC203" s="864"/>
      <c r="AD203" s="864"/>
      <c r="AE203" s="864"/>
      <c r="AF203" s="864"/>
      <c r="AG203" s="865" t="e">
        <f>'Translate&amp;Prices&amp;Logo'!$O$242&amp;" "&amp;VLOOKUP(Ram_6!H17,kombinace_1!$BY$32:$CD$35,6,0)</f>
        <v>#N/A</v>
      </c>
      <c r="AH203" s="865"/>
      <c r="AI203" s="865"/>
      <c r="AJ203" s="865"/>
      <c r="AK203" s="865"/>
      <c r="AL203" s="864">
        <f>Ram_6!$N$20</f>
        <v>100</v>
      </c>
      <c r="AM203" s="864"/>
      <c r="AN203" s="864"/>
      <c r="AO203" s="864"/>
      <c r="AR203" s="880"/>
      <c r="CA203"/>
      <c r="CB203"/>
    </row>
    <row r="204" spans="19:80" ht="16.350000000000001" customHeight="1">
      <c r="S204" s="877" t="e">
        <f>Ram_1!#REF!</f>
        <v>#REF!</v>
      </c>
      <c r="W204" s="308" t="str">
        <f>'Translate&amp;Prices&amp;Logo'!$O$653</f>
        <v>Wypełnienie z siatki</v>
      </c>
      <c r="X204" s="183"/>
      <c r="Y204" s="183"/>
      <c r="Z204" s="183"/>
      <c r="AA204" s="183"/>
      <c r="AB204" s="304"/>
      <c r="AC204" s="863" t="str">
        <f>IF(kombinace_6!FC2=TRUE,"Tak","Nie")</f>
        <v>Nie</v>
      </c>
      <c r="AD204" s="863"/>
      <c r="AE204" s="863"/>
      <c r="AF204" s="863"/>
      <c r="AG204" s="863"/>
      <c r="AH204" s="863"/>
      <c r="AI204" s="863"/>
      <c r="AJ204" s="863"/>
      <c r="AK204" s="863"/>
      <c r="AL204" s="863"/>
      <c r="AM204" s="863"/>
      <c r="AN204" s="863"/>
      <c r="AO204" s="863"/>
      <c r="AR204" s="880"/>
      <c r="CA204"/>
      <c r="CB204"/>
    </row>
    <row r="205" spans="19:80" ht="16.350000000000001" customHeight="1">
      <c r="S205" s="877" t="e">
        <f>Ram_1!#REF!</f>
        <v>#REF!</v>
      </c>
      <c r="W205" s="865" t="str">
        <f>'Translate&amp;Prices&amp;Logo'!$O$173</f>
        <v>Rodzaj szkła</v>
      </c>
      <c r="X205" s="865"/>
      <c r="Y205" s="865"/>
      <c r="Z205" s="865"/>
      <c r="AA205" s="865"/>
      <c r="AB205" s="304"/>
      <c r="AC205" s="864" t="str">
        <f>IFERROR(VLOOKUP(kombinace_6!$V$1,BX192:BY194,2,0),0)</f>
        <v>Bez modyfikacji</v>
      </c>
      <c r="AD205" s="864"/>
      <c r="AE205" s="864"/>
      <c r="AF205" s="864"/>
      <c r="AG205" s="864"/>
      <c r="AH205" s="864"/>
      <c r="AI205" s="864"/>
      <c r="AJ205" s="864"/>
      <c r="AK205" s="864"/>
      <c r="AL205" s="864"/>
      <c r="AM205" s="864"/>
      <c r="AN205" s="864"/>
      <c r="AO205" s="864"/>
      <c r="AR205" s="880"/>
      <c r="CA205"/>
      <c r="CB205"/>
    </row>
    <row r="206" spans="19:80" ht="16.350000000000001" customHeight="1">
      <c r="S206" s="877" t="e">
        <f>Ram_1!#REF!</f>
        <v>#REF!</v>
      </c>
      <c r="W206" s="865" t="str">
        <f>'Translate&amp;Prices&amp;Logo'!$O$562</f>
        <v>Rodzaj folii</v>
      </c>
      <c r="X206" s="865"/>
      <c r="Y206" s="865"/>
      <c r="Z206" s="865"/>
      <c r="AA206" s="865"/>
      <c r="AB206" s="304"/>
      <c r="AC206" s="864">
        <f>IFERROR(VLOOKUP(Ram_6!$H$24,CA12:CB29,2,0),0)</f>
        <v>0</v>
      </c>
      <c r="AD206" s="864"/>
      <c r="AE206" s="864"/>
      <c r="AF206" s="864"/>
      <c r="AG206" s="864"/>
      <c r="AH206" s="864"/>
      <c r="AI206" s="864"/>
      <c r="AJ206" s="864"/>
      <c r="AK206" s="864"/>
      <c r="AL206" s="864"/>
      <c r="AM206" s="864"/>
      <c r="AN206" s="864"/>
      <c r="AO206" s="864"/>
      <c r="AR206" s="880"/>
      <c r="CA206"/>
      <c r="CB206"/>
    </row>
    <row r="207" spans="19:80" ht="16.350000000000001" customHeight="1" thickBot="1">
      <c r="S207" s="878" t="e">
        <f>Ram_1!#REF!</f>
        <v>#REF!</v>
      </c>
      <c r="W207" s="865" t="str">
        <f>'Translate&amp;Prices&amp;Logo'!$O$173</f>
        <v>Rodzaj szkła</v>
      </c>
      <c r="X207" s="865"/>
      <c r="Y207" s="865"/>
      <c r="Z207" s="865"/>
      <c r="AA207" s="865"/>
      <c r="AB207" s="304"/>
      <c r="AC207" s="864">
        <f>IFERROR(VLOOKUP(Ram_6!$H$25,'Translate&amp;Prices&amp;Logo'!$AH$1:$AI$165,2,0),Ram_6!$H$25)</f>
        <v>0</v>
      </c>
      <c r="AD207" s="864"/>
      <c r="AE207" s="864"/>
      <c r="AF207" s="864"/>
      <c r="AG207" s="864"/>
      <c r="AH207" s="864"/>
      <c r="AI207" s="864"/>
      <c r="AJ207" s="864"/>
      <c r="AK207" s="864"/>
      <c r="AL207" s="864"/>
      <c r="AM207" s="864"/>
      <c r="AN207" s="864"/>
      <c r="AO207" s="864"/>
      <c r="AR207" s="880"/>
    </row>
    <row r="208" spans="19:80" ht="16.350000000000001" customHeight="1">
      <c r="W208" s="865" t="str">
        <f>'Translate&amp;Prices&amp;Logo'!$O$549</f>
        <v>Rozstaw uchwytu (mm)</v>
      </c>
      <c r="X208" s="865"/>
      <c r="Y208" s="865"/>
      <c r="Z208" s="865"/>
      <c r="AA208" s="865"/>
      <c r="AB208" s="304"/>
      <c r="AC208" s="864">
        <f>Ram_6!$H$26</f>
        <v>0</v>
      </c>
      <c r="AD208" s="864"/>
      <c r="AE208" s="864"/>
      <c r="AF208" s="864"/>
      <c r="AG208" s="864"/>
      <c r="AH208" s="864"/>
      <c r="AI208" s="864"/>
      <c r="AJ208" s="864"/>
      <c r="AK208" s="864"/>
      <c r="AL208" s="864"/>
      <c r="AM208" s="864"/>
      <c r="AN208" s="864"/>
      <c r="AO208" s="864"/>
      <c r="AR208" s="880"/>
    </row>
    <row r="209" spans="1:44" ht="16.350000000000001" customHeight="1">
      <c r="W209" s="865" t="str">
        <f>'Translate&amp;Prices&amp;Logo'!$O$550</f>
        <v>Umieszczenie uchwytu</v>
      </c>
      <c r="X209" s="865"/>
      <c r="Y209" s="865"/>
      <c r="Z209" s="865"/>
      <c r="AA209" s="865"/>
      <c r="AB209" s="304"/>
      <c r="AC209" s="864">
        <f>IFERROR(VLOOKUP(Ram_6!$H$27,BM62:BN65,2,0),0)</f>
        <v>0</v>
      </c>
      <c r="AD209" s="864"/>
      <c r="AE209" s="864"/>
      <c r="AF209" s="864"/>
      <c r="AG209" s="864"/>
      <c r="AH209" s="864"/>
      <c r="AI209" s="864"/>
      <c r="AJ209" s="864"/>
      <c r="AK209" s="864"/>
      <c r="AL209" s="864"/>
      <c r="AM209" s="864"/>
      <c r="AN209" s="864"/>
      <c r="AO209" s="864"/>
      <c r="AR209" s="880"/>
    </row>
    <row r="210" spans="1:44" ht="16.350000000000001" customHeight="1">
      <c r="W210" s="865" t="str">
        <f>('Translate&amp;Prices&amp;Logo'!$O$174)&amp;" "&amp;"-"&amp;" "&amp;('Translate&amp;Prices&amp;Logo'!$O$169)&amp;" "&amp;" "&amp;6</f>
        <v>Ilość sztuk - Ramka  6</v>
      </c>
      <c r="X210" s="865"/>
      <c r="Y210" s="865"/>
      <c r="Z210" s="865"/>
      <c r="AA210" s="865"/>
      <c r="AB210" s="304"/>
      <c r="AC210" s="864">
        <f>Ram_6!$H$28</f>
        <v>0</v>
      </c>
      <c r="AD210" s="864"/>
      <c r="AE210" s="864"/>
      <c r="AF210" s="864"/>
      <c r="AG210" s="864"/>
      <c r="AH210" s="864"/>
      <c r="AI210" s="864"/>
      <c r="AJ210" s="864"/>
      <c r="AK210" s="864"/>
      <c r="AL210" s="864"/>
      <c r="AM210" s="864"/>
      <c r="AN210" s="864"/>
      <c r="AO210" s="864"/>
      <c r="AR210" s="880"/>
    </row>
    <row r="211" spans="1:44" ht="16.350000000000001" customHeight="1">
      <c r="AE211" s="1"/>
      <c r="AF211" s="1"/>
      <c r="AR211" s="880"/>
    </row>
    <row r="212" spans="1:44" ht="14.85" customHeight="1">
      <c r="AR212" s="880"/>
    </row>
    <row r="213" spans="1:44" ht="14.85" customHeight="1">
      <c r="W213" s="870" t="s">
        <v>1725</v>
      </c>
      <c r="X213" s="870"/>
      <c r="Y213" s="870"/>
      <c r="Z213" s="870"/>
      <c r="AE213" s="870" t="s">
        <v>1726</v>
      </c>
      <c r="AF213" s="870"/>
      <c r="AG213" s="870"/>
      <c r="AH213" s="870"/>
      <c r="AR213" s="880"/>
    </row>
    <row r="214" spans="1:44" ht="14.85" customHeight="1">
      <c r="AE214" s="882"/>
      <c r="AF214" s="883"/>
      <c r="AG214" s="883"/>
      <c r="AH214" s="883"/>
      <c r="AI214" s="883"/>
      <c r="AJ214" s="883"/>
      <c r="AK214" s="883"/>
      <c r="AL214" s="883"/>
      <c r="AM214" s="883"/>
      <c r="AN214" s="884"/>
      <c r="AR214" s="880"/>
    </row>
    <row r="215" spans="1:44" ht="14.85" customHeight="1">
      <c r="AE215" s="885"/>
      <c r="AF215" s="886"/>
      <c r="AG215" s="886"/>
      <c r="AH215" s="886"/>
      <c r="AI215" s="886"/>
      <c r="AJ215" s="886"/>
      <c r="AK215" s="886"/>
      <c r="AL215" s="886"/>
      <c r="AM215" s="886"/>
      <c r="AN215" s="887"/>
      <c r="AR215" s="880"/>
    </row>
    <row r="216" spans="1:44" ht="14.85" customHeight="1">
      <c r="AE216" s="885"/>
      <c r="AF216" s="886"/>
      <c r="AG216" s="886"/>
      <c r="AH216" s="886"/>
      <c r="AI216" s="886"/>
      <c r="AJ216" s="886"/>
      <c r="AK216" s="886"/>
      <c r="AL216" s="886"/>
      <c r="AM216" s="886"/>
      <c r="AN216" s="887"/>
      <c r="AR216" s="880"/>
    </row>
    <row r="217" spans="1:44" ht="14.85" customHeight="1">
      <c r="D217" s="894">
        <f>IF(OR(Ram_6!$AC$25="x",Ram_6!$AJ$26="x",Ram_6!$AC$9="x",Ram_6!$AJ$7="x",Ram_6!$AB$16="x",Ram_6!$AM$23="x",Ram_6!$AN$19="x",Ram_6!$AD$10="x"),'Translate&amp;Prices&amp;Logo'!$B$588,0)</f>
        <v>0</v>
      </c>
      <c r="E217" s="894"/>
      <c r="F217" s="894"/>
      <c r="G217" s="894"/>
      <c r="H217" s="894"/>
      <c r="I217" s="894"/>
      <c r="J217" s="894"/>
      <c r="K217" s="894"/>
      <c r="L217" s="894"/>
      <c r="M217" s="894"/>
      <c r="N217" s="894"/>
      <c r="O217" s="894"/>
      <c r="P217" s="894"/>
      <c r="AE217" s="885"/>
      <c r="AF217" s="886"/>
      <c r="AG217" s="886"/>
      <c r="AH217" s="886"/>
      <c r="AI217" s="886"/>
      <c r="AJ217" s="886"/>
      <c r="AK217" s="886"/>
      <c r="AL217" s="886"/>
      <c r="AM217" s="886"/>
      <c r="AN217" s="887"/>
      <c r="AR217" s="880"/>
    </row>
    <row r="218" spans="1:44" ht="14.85" customHeight="1">
      <c r="AE218" s="885"/>
      <c r="AF218" s="886"/>
      <c r="AG218" s="886"/>
      <c r="AH218" s="886"/>
      <c r="AI218" s="886"/>
      <c r="AJ218" s="886"/>
      <c r="AK218" s="886"/>
      <c r="AL218" s="886"/>
      <c r="AM218" s="886"/>
      <c r="AN218" s="887"/>
      <c r="AR218" s="880"/>
    </row>
    <row r="219" spans="1:44" ht="14.85" customHeight="1" thickBot="1">
      <c r="AE219" s="885"/>
      <c r="AF219" s="886"/>
      <c r="AG219" s="886"/>
      <c r="AH219" s="886"/>
      <c r="AI219" s="886"/>
      <c r="AJ219" s="886"/>
      <c r="AK219" s="886"/>
      <c r="AL219" s="886"/>
      <c r="AM219" s="886"/>
      <c r="AN219" s="887"/>
      <c r="AR219" s="880"/>
    </row>
    <row r="220" spans="1:44" ht="14.85" customHeight="1" thickBot="1">
      <c r="G220" s="871" t="str">
        <f>'Translate&amp;Prices&amp;Logo'!$O$175</f>
        <v>Szerokość</v>
      </c>
      <c r="H220" s="872" t="e">
        <f>Ram_1!#REF!</f>
        <v>#REF!</v>
      </c>
      <c r="I220" s="872" t="e">
        <f>Ram_1!#REF!</f>
        <v>#REF!</v>
      </c>
      <c r="J220" s="873">
        <f>Ram_6!AI30</f>
        <v>0</v>
      </c>
      <c r="K220" s="873" t="e">
        <f>Ram_1!#REF!</f>
        <v>#REF!</v>
      </c>
      <c r="L220" s="874" t="e">
        <f>Ram_1!#REF!</f>
        <v>#REF!</v>
      </c>
      <c r="AE220" s="885"/>
      <c r="AF220" s="886"/>
      <c r="AG220" s="886"/>
      <c r="AH220" s="886"/>
      <c r="AI220" s="886"/>
      <c r="AJ220" s="886"/>
      <c r="AK220" s="886"/>
      <c r="AL220" s="886"/>
      <c r="AM220" s="886"/>
      <c r="AN220" s="887"/>
      <c r="AR220" s="880"/>
    </row>
    <row r="221" spans="1:44" ht="21" customHeight="1">
      <c r="AE221" s="888"/>
      <c r="AF221" s="889"/>
      <c r="AG221" s="889"/>
      <c r="AH221" s="889"/>
      <c r="AI221" s="889"/>
      <c r="AJ221" s="889"/>
      <c r="AK221" s="889"/>
      <c r="AL221" s="889"/>
      <c r="AM221" s="889"/>
      <c r="AN221" s="890"/>
      <c r="AR221" s="880"/>
    </row>
    <row r="222" spans="1:44" ht="14.85" customHeight="1">
      <c r="AR222" s="880"/>
    </row>
    <row r="223" spans="1:44" ht="14.85" customHeight="1">
      <c r="AR223" s="880"/>
    </row>
    <row r="224" spans="1:44"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181"/>
      <c r="AF224" s="182"/>
      <c r="AG224" s="30"/>
      <c r="AH224" s="30"/>
      <c r="AI224" s="30"/>
      <c r="AJ224" s="30"/>
      <c r="AK224" s="30"/>
      <c r="AL224" s="30"/>
      <c r="AM224" s="30"/>
      <c r="AN224" s="30"/>
      <c r="AO224" s="30"/>
      <c r="AP224" s="30"/>
      <c r="AQ224" s="30"/>
      <c r="AR224" s="30"/>
    </row>
  </sheetData>
  <mergeCells count="357">
    <mergeCell ref="D8:K8"/>
    <mergeCell ref="D5:K5"/>
    <mergeCell ref="D6:K6"/>
    <mergeCell ref="D7:K7"/>
    <mergeCell ref="G112:I112"/>
    <mergeCell ref="J112:L112"/>
    <mergeCell ref="S95:S99"/>
    <mergeCell ref="S54:S58"/>
    <mergeCell ref="X4:AE5"/>
    <mergeCell ref="W95:AA95"/>
    <mergeCell ref="W86:AA86"/>
    <mergeCell ref="AC86:AI86"/>
    <mergeCell ref="G76:I76"/>
    <mergeCell ref="J76:L76"/>
    <mergeCell ref="S90:S94"/>
    <mergeCell ref="W57:AA57"/>
    <mergeCell ref="AC62:AO62"/>
    <mergeCell ref="AJ54:AO54"/>
    <mergeCell ref="AC60:AO60"/>
    <mergeCell ref="AG55:AI55"/>
    <mergeCell ref="AJ55:AO55"/>
    <mergeCell ref="W66:AA66"/>
    <mergeCell ref="AC66:AO66"/>
    <mergeCell ref="AF4:AF5"/>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S162:S166"/>
    <mergeCell ref="AB163:AF163"/>
    <mergeCell ref="AB167:AF167"/>
    <mergeCell ref="AG167:AK167"/>
    <mergeCell ref="W166:AA166"/>
    <mergeCell ref="AC166:AO166"/>
    <mergeCell ref="S167:S171"/>
    <mergeCell ref="W174:AA174"/>
    <mergeCell ref="AG163:AI163"/>
    <mergeCell ref="AJ163:AO163"/>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D217:P217"/>
    <mergeCell ref="W213:Z213"/>
    <mergeCell ref="AE213:AH213"/>
    <mergeCell ref="AE214:AN221"/>
    <mergeCell ref="G220:I220"/>
    <mergeCell ref="W206:AA206"/>
    <mergeCell ref="AC206:AO206"/>
    <mergeCell ref="W207:AA207"/>
    <mergeCell ref="S203:S207"/>
    <mergeCell ref="W203:AA203"/>
    <mergeCell ref="AB203:AF203"/>
    <mergeCell ref="AG203:AK203"/>
    <mergeCell ref="D37:P37"/>
    <mergeCell ref="D73:P73"/>
    <mergeCell ref="D109:P109"/>
    <mergeCell ref="D145:P145"/>
    <mergeCell ref="D181:P181"/>
    <mergeCell ref="G184:I184"/>
    <mergeCell ref="J184:L184"/>
    <mergeCell ref="W159:AA159"/>
    <mergeCell ref="AC159:AO159"/>
    <mergeCell ref="AJ157:AO157"/>
    <mergeCell ref="AC164:AO164"/>
    <mergeCell ref="AC162:AI162"/>
    <mergeCell ref="AJ162:AO162"/>
    <mergeCell ref="W164:AA164"/>
    <mergeCell ref="W162:AA162"/>
    <mergeCell ref="W163:AA163"/>
    <mergeCell ref="S198:S202"/>
    <mergeCell ref="W198:AA198"/>
    <mergeCell ref="W199:AA199"/>
    <mergeCell ref="AC122:AI122"/>
    <mergeCell ref="W208:AA208"/>
    <mergeCell ref="AC20:AI20"/>
    <mergeCell ref="AJ20:AO20"/>
    <mergeCell ref="AB199:AF199"/>
    <mergeCell ref="AC173:AO173"/>
    <mergeCell ref="AE178:AN185"/>
    <mergeCell ref="W172:AA172"/>
    <mergeCell ref="W177:Z177"/>
    <mergeCell ref="W158:AA158"/>
    <mergeCell ref="AC158:AI158"/>
    <mergeCell ref="AJ158:AO158"/>
    <mergeCell ref="W170:AA170"/>
    <mergeCell ref="AC170:AO170"/>
    <mergeCell ref="AC157:AI157"/>
    <mergeCell ref="AE177:AH177"/>
    <mergeCell ref="W122:AA122"/>
    <mergeCell ref="W141:Z141"/>
    <mergeCell ref="W130:AA130"/>
    <mergeCell ref="AC130:AO130"/>
    <mergeCell ref="W131:AA131"/>
    <mergeCell ref="AC136:AO136"/>
    <mergeCell ref="W137:AA137"/>
    <mergeCell ref="AJ121:AO121"/>
    <mergeCell ref="W117:AA117"/>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AC126:AI126"/>
    <mergeCell ref="AJ126:AO126"/>
    <mergeCell ref="AG127:AI127"/>
    <mergeCell ref="AJ127:AO127"/>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98:AA98"/>
    <mergeCell ref="AE105:AH105"/>
    <mergeCell ref="AC93:AO93"/>
    <mergeCell ref="AC81:AO81"/>
    <mergeCell ref="AC90:AI90"/>
    <mergeCell ref="AJ90:AO90"/>
    <mergeCell ref="AG91:AI91"/>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C97:AO97"/>
    <mergeCell ref="W99:AA99"/>
    <mergeCell ref="AC99:AO99"/>
    <mergeCell ref="AC98:AO98"/>
    <mergeCell ref="AC96:AO96"/>
    <mergeCell ref="AG95:AK95"/>
    <mergeCell ref="AL95:AO95"/>
    <mergeCell ref="W97:AA97"/>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59:AA59"/>
    <mergeCell ref="AG59:AK59"/>
    <mergeCell ref="AL59:AO59"/>
    <mergeCell ref="W61:AA61"/>
    <mergeCell ref="AC61:AO61"/>
    <mergeCell ref="W62:AA62"/>
    <mergeCell ref="W65:AA65"/>
    <mergeCell ref="AC65:AO65"/>
    <mergeCell ref="W63:AA63"/>
    <mergeCell ref="W90:AA90"/>
    <mergeCell ref="W91:AA91"/>
    <mergeCell ref="W93:AA93"/>
    <mergeCell ref="W69:Z69"/>
    <mergeCell ref="AE69:AH69"/>
    <mergeCell ref="AE70:AN77"/>
    <mergeCell ref="AC89:AO89"/>
    <mergeCell ref="W84:AA84"/>
    <mergeCell ref="AC84:AO84"/>
    <mergeCell ref="AB91:AF91"/>
    <mergeCell ref="W92:AA92"/>
    <mergeCell ref="AC92:AO92"/>
    <mergeCell ref="AK91:AO91"/>
    <mergeCell ref="AJ86:AO86"/>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AC14:AI14"/>
    <mergeCell ref="AJ14:AO14"/>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 ref="AB55:AF55"/>
    <mergeCell ref="W56:AA56"/>
  </mergeCells>
  <conditionalFormatting sqref="D37:P37">
    <cfRule type="cellIs" dxfId="216" priority="76" operator="equal">
      <formula>0</formula>
    </cfRule>
  </conditionalFormatting>
  <conditionalFormatting sqref="D73:P73">
    <cfRule type="cellIs" dxfId="215" priority="74" operator="equal">
      <formula>0</formula>
    </cfRule>
  </conditionalFormatting>
  <conditionalFormatting sqref="D109:P109">
    <cfRule type="cellIs" dxfId="214" priority="73" operator="equal">
      <formula>0</formula>
    </cfRule>
  </conditionalFormatting>
  <conditionalFormatting sqref="D145:P145">
    <cfRule type="cellIs" dxfId="213" priority="72" operator="equal">
      <formula>0</formula>
    </cfRule>
  </conditionalFormatting>
  <conditionalFormatting sqref="D181:P181">
    <cfRule type="cellIs" dxfId="212" priority="71" operator="equal">
      <formula>0</formula>
    </cfRule>
  </conditionalFormatting>
  <conditionalFormatting sqref="D217:P217">
    <cfRule type="cellIs" dxfId="211" priority="70" operator="equal">
      <formula>0</formula>
    </cfRule>
  </conditionalFormatting>
  <conditionalFormatting sqref="W14:AB14">
    <cfRule type="expression" dxfId="209" priority="27">
      <formula>$AC$12=$AV$12</formula>
    </cfRule>
  </conditionalFormatting>
  <conditionalFormatting sqref="W20:AB20">
    <cfRule type="expression" dxfId="208" priority="192">
      <formula>$AC$20=0</formula>
    </cfRule>
  </conditionalFormatting>
  <conditionalFormatting sqref="W50:AB50">
    <cfRule type="expression" dxfId="207" priority="26">
      <formula>$AC$48=$AV$48</formula>
    </cfRule>
  </conditionalFormatting>
  <conditionalFormatting sqref="W86:AB86">
    <cfRule type="expression" dxfId="206" priority="25">
      <formula>$AC$84=$AV$84</formula>
    </cfRule>
  </conditionalFormatting>
  <conditionalFormatting sqref="W122:AB122">
    <cfRule type="expression" dxfId="205" priority="24">
      <formula>$AC$120=$AV$120</formula>
    </cfRule>
  </conditionalFormatting>
  <conditionalFormatting sqref="W158:AB158">
    <cfRule type="expression" dxfId="204" priority="23">
      <formula>$AC$156=$AV$156</formula>
    </cfRule>
  </conditionalFormatting>
  <conditionalFormatting sqref="W194:AB194">
    <cfRule type="expression" dxfId="203" priority="22">
      <formula>$AC$192=$AV$192</formula>
    </cfRule>
  </conditionalFormatting>
  <conditionalFormatting sqref="W95:AC96">
    <cfRule type="cellIs" dxfId="202" priority="32" operator="equal">
      <formula>0</formula>
    </cfRule>
  </conditionalFormatting>
  <conditionalFormatting sqref="W19:AG19 AJ19">
    <cfRule type="expression" dxfId="201" priority="193">
      <formula>$AB$19=0</formula>
    </cfRule>
  </conditionalFormatting>
  <conditionalFormatting sqref="W55:AG55 AJ55">
    <cfRule type="expression" dxfId="200" priority="113">
      <formula>$AB$55=0</formula>
    </cfRule>
  </conditionalFormatting>
  <conditionalFormatting sqref="W91:AG91 AJ91:AK91">
    <cfRule type="expression" dxfId="199" priority="105">
      <formula>$AB$91=0</formula>
    </cfRule>
  </conditionalFormatting>
  <conditionalFormatting sqref="W127:AG127 AJ127">
    <cfRule type="expression" dxfId="198" priority="97">
      <formula>$AB$127=0</formula>
    </cfRule>
  </conditionalFormatting>
  <conditionalFormatting sqref="W163:AG163 AJ163">
    <cfRule type="expression" dxfId="197" priority="89">
      <formula>$AB$163=0</formula>
    </cfRule>
  </conditionalFormatting>
  <conditionalFormatting sqref="W199:AG199 AJ199">
    <cfRule type="expression" dxfId="196" priority="81">
      <formula>$AB$199=0</formula>
    </cfRule>
  </conditionalFormatting>
  <conditionalFormatting sqref="W22:AO23">
    <cfRule type="expression" dxfId="195" priority="190">
      <formula>$AC$22=0</formula>
    </cfRule>
  </conditionalFormatting>
  <conditionalFormatting sqref="W56:AO56">
    <cfRule type="expression" dxfId="194" priority="112">
      <formula>$AC$56=0</formula>
    </cfRule>
  </conditionalFormatting>
  <conditionalFormatting sqref="W58:AO58 W59:AC59 AG59:AO59">
    <cfRule type="expression" dxfId="193" priority="110">
      <formula>$AC$58=0</formula>
    </cfRule>
  </conditionalFormatting>
  <conditionalFormatting sqref="W92:AO92">
    <cfRule type="expression" dxfId="192" priority="104">
      <formula>$AC$92=0</formula>
    </cfRule>
  </conditionalFormatting>
  <conditionalFormatting sqref="W94:AO94 W95:AA95 AC95 AG95:AO95">
    <cfRule type="expression" dxfId="191" priority="102">
      <formula>$AC$94=0</formula>
    </cfRule>
  </conditionalFormatting>
  <conditionalFormatting sqref="W128:AO128">
    <cfRule type="expression" dxfId="190" priority="96">
      <formula>$AC$128=0</formula>
    </cfRule>
  </conditionalFormatting>
  <conditionalFormatting sqref="W130:AO131">
    <cfRule type="expression" dxfId="189" priority="94">
      <formula>$AC$130=0</formula>
    </cfRule>
  </conditionalFormatting>
  <conditionalFormatting sqref="W164:AO164 AB165">
    <cfRule type="expression" dxfId="188" priority="88">
      <formula>$AC$164=0</formula>
    </cfRule>
  </conditionalFormatting>
  <conditionalFormatting sqref="W166:AO167">
    <cfRule type="expression" dxfId="187" priority="86">
      <formula>$AC$166=0</formula>
    </cfRule>
  </conditionalFormatting>
  <conditionalFormatting sqref="W200:AO200 AB201">
    <cfRule type="expression" dxfId="186" priority="80">
      <formula>$AC$200=0</formula>
    </cfRule>
  </conditionalFormatting>
  <conditionalFormatting sqref="W202:AO203">
    <cfRule type="expression" dxfId="185" priority="78">
      <formula>$AC$202=0</formula>
    </cfRule>
  </conditionalFormatting>
  <conditionalFormatting sqref="AB121">
    <cfRule type="cellIs" dxfId="184" priority="33" operator="equal">
      <formula>0</formula>
    </cfRule>
  </conditionalFormatting>
  <conditionalFormatting sqref="AB157">
    <cfRule type="cellIs" dxfId="183" priority="34" operator="equal">
      <formula>0</formula>
    </cfRule>
  </conditionalFormatting>
  <conditionalFormatting sqref="AC13">
    <cfRule type="expression" dxfId="182" priority="52" stopIfTrue="1">
      <formula>$AC$14=0</formula>
    </cfRule>
  </conditionalFormatting>
  <conditionalFormatting sqref="AC49:AI50">
    <cfRule type="expression" dxfId="181" priority="50" stopIfTrue="1">
      <formula>$AC$50=0</formula>
    </cfRule>
  </conditionalFormatting>
  <conditionalFormatting sqref="AC85:AI86">
    <cfRule type="expression" dxfId="180" priority="48" stopIfTrue="1">
      <formula>$AC$86=0</formula>
    </cfRule>
  </conditionalFormatting>
  <conditionalFormatting sqref="AC121:AI122">
    <cfRule type="expression" dxfId="179" priority="46" stopIfTrue="1">
      <formula>$AC$122=0</formula>
    </cfRule>
  </conditionalFormatting>
  <conditionalFormatting sqref="AC157:AI158">
    <cfRule type="expression" dxfId="178" priority="44" stopIfTrue="1">
      <formula>$AC$158=0</formula>
    </cfRule>
  </conditionalFormatting>
  <conditionalFormatting sqref="AC193:AI194">
    <cfRule type="expression" dxfId="177" priority="42" stopIfTrue="1">
      <formula>$AC$194=0</formula>
    </cfRule>
  </conditionalFormatting>
  <conditionalFormatting sqref="AC17:AO17">
    <cfRule type="expression" dxfId="176" priority="194">
      <formula>$AC$17=0</formula>
    </cfRule>
  </conditionalFormatting>
  <conditionalFormatting sqref="AC53:AO53">
    <cfRule type="expression" dxfId="175" priority="114">
      <formula>$AC$53=0</formula>
    </cfRule>
  </conditionalFormatting>
  <conditionalFormatting sqref="AC89:AO89">
    <cfRule type="expression" dxfId="174" priority="106">
      <formula>$AC$89=0</formula>
    </cfRule>
  </conditionalFormatting>
  <conditionalFormatting sqref="AC125:AO125">
    <cfRule type="expression" dxfId="173" priority="98">
      <formula>$AC$125=0</formula>
    </cfRule>
  </conditionalFormatting>
  <conditionalFormatting sqref="AC161:AO161">
    <cfRule type="expression" dxfId="172" priority="90">
      <formula>$AC$161=0</formula>
    </cfRule>
  </conditionalFormatting>
  <conditionalFormatting sqref="AC197:AO197">
    <cfRule type="expression" dxfId="171" priority="82">
      <formula>$AC$197=0</formula>
    </cfRule>
  </conditionalFormatting>
  <conditionalFormatting sqref="AJ13:AO14">
    <cfRule type="expression" dxfId="170" priority="51" stopIfTrue="1">
      <formula>$AJ$14=0</formula>
    </cfRule>
  </conditionalFormatting>
  <conditionalFormatting sqref="AJ49:AO50">
    <cfRule type="expression" dxfId="169" priority="49" stopIfTrue="1">
      <formula>$AJ$50=0</formula>
    </cfRule>
  </conditionalFormatting>
  <conditionalFormatting sqref="AJ85:AO86">
    <cfRule type="expression" dxfId="168" priority="47" stopIfTrue="1">
      <formula>$AJ$86=0</formula>
    </cfRule>
  </conditionalFormatting>
  <conditionalFormatting sqref="AJ121:AO122">
    <cfRule type="expression" dxfId="167" priority="45" stopIfTrue="1">
      <formula>$AJ$122=0</formula>
    </cfRule>
  </conditionalFormatting>
  <conditionalFormatting sqref="AJ157:AO158">
    <cfRule type="expression" dxfId="166" priority="43" stopIfTrue="1">
      <formula>$AJ$158=0</formula>
    </cfRule>
  </conditionalFormatting>
  <conditionalFormatting sqref="AJ193:AO194">
    <cfRule type="expression" dxfId="165" priority="41" stopIfTrue="1">
      <formula>$AJ$194=0</formula>
    </cfRule>
  </conditionalFormatting>
  <conditionalFormatting sqref="BS68:BT71">
    <cfRule type="expression" dxfId="164" priority="36" stopIfTrue="1">
      <formula>AND(COUNTIF($M$582:$M$587, BS68)+COUNTIF($M$593:$M$624, BS68)+COUNTIF($M$627:$M$627, BS68)+COUNTIF($M$642:$M$644, BS68)&gt;1,NOT(ISBLANK(BS68)))</formula>
    </cfRule>
  </conditionalFormatting>
  <conditionalFormatting sqref="BS104:BT107">
    <cfRule type="expression" dxfId="163" priority="35" stopIfTrue="1">
      <formula>AND(COUNTIF($M$582:$M$587, BS104)+COUNTIF($M$593:$M$624, BS104)+COUNTIF($M$627:$M$627, BS104)+COUNTIF($M$642:$M$644, BS104)&gt;1,NOT(ISBLANK(BS104)))</formula>
    </cfRule>
  </conditionalFormatting>
  <conditionalFormatting sqref="CK100:CK1048576 CK1:CK90">
    <cfRule type="duplicateValues" dxfId="162" priority="761"/>
  </conditionalFormatting>
  <conditionalFormatting sqref="CL73:CL84">
    <cfRule type="duplicateValues" dxfId="161" priority="4"/>
  </conditionalFormatting>
  <conditionalFormatting sqref="CL86:CL87">
    <cfRule type="duplicateValues" dxfId="160" priority="3"/>
  </conditionalFormatting>
  <conditionalFormatting sqref="CL89:CL90">
    <cfRule type="duplicateValues" dxfId="159" priority="2"/>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7" id="{ABBE0A8E-D02B-40AB-AB72-323015263E04}">
            <xm:f>Zakaznik!$K$23="Dostawa na adres"</xm:f>
            <x14:dxf>
              <font>
                <color theme="1"/>
              </font>
              <fill>
                <patternFill>
                  <bgColor rgb="FFFFFF00"/>
                </patternFill>
              </fill>
            </x14:dxf>
          </x14:cfRule>
          <xm:sqref>M5:U8 D6:K8</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83EA-33F5-4F26-A631-961A851CD561}">
  <sheetPr codeName="List3">
    <tabColor rgb="FF92D050"/>
  </sheetPr>
  <dimension ref="A1:CL224"/>
  <sheetViews>
    <sheetView showGridLines="0" showRowColHeaders="0" showZeros="0" workbookViewId="0">
      <selection activeCell="W4" sqref="W4:AD5"/>
    </sheetView>
  </sheetViews>
  <sheetFormatPr defaultColWidth="0" defaultRowHeight="14.85" customHeight="1"/>
  <cols>
    <col min="1" max="1" width="2.42578125" style="1" customWidth="1"/>
    <col min="2" max="10" width="4.42578125" style="1" customWidth="1"/>
    <col min="11" max="14" width="5.5703125" style="1" customWidth="1"/>
    <col min="15" max="21" width="4.42578125" style="1" customWidth="1"/>
    <col min="22" max="26" width="6.140625" style="1" customWidth="1"/>
    <col min="27" max="29" width="6.42578125" style="1" customWidth="1"/>
    <col min="30" max="30" width="6.42578125" style="20" customWidth="1"/>
    <col min="31" max="31" width="6.42578125" style="18" customWidth="1"/>
    <col min="32" max="33" width="6.140625" style="1" customWidth="1"/>
    <col min="34" max="34" width="13" style="1" customWidth="1"/>
    <col min="35" max="36" width="6.140625" style="1" customWidth="1"/>
    <col min="37" max="40" width="6.42578125" style="1" customWidth="1"/>
    <col min="41" max="41" width="4.42578125" style="1" customWidth="1"/>
    <col min="42" max="42" width="3.85546875" style="1" customWidth="1"/>
    <col min="43" max="43" width="8.5703125" style="1" customWidth="1"/>
    <col min="44" max="51" width="8.5703125" style="1" hidden="1" customWidth="1"/>
    <col min="52" max="53" width="8.5703125" style="19" hidden="1" customWidth="1"/>
    <col min="54" max="54" width="8.5703125" style="1" hidden="1" customWidth="1"/>
    <col min="55" max="56" width="12.5703125" style="1" hidden="1" customWidth="1"/>
    <col min="57" max="59" width="8.5703125" style="1" hidden="1" customWidth="1"/>
    <col min="60" max="60" width="14.42578125" style="1" hidden="1" customWidth="1"/>
    <col min="61" max="61" width="20.28515625" style="1" hidden="1" customWidth="1"/>
    <col min="62" max="87" width="8.5703125" style="1" hidden="1" customWidth="1"/>
    <col min="88" max="88" width="34.28515625" style="1" hidden="1" customWidth="1"/>
    <col min="89" max="90" width="25" style="1" hidden="1" customWidth="1"/>
    <col min="91" max="16384" width="8.5703125" style="1" hidden="1"/>
  </cols>
  <sheetData>
    <row r="1" spans="1:89" ht="15">
      <c r="A1" s="81"/>
      <c r="B1" s="81"/>
      <c r="C1" s="81"/>
      <c r="D1" s="81"/>
      <c r="E1" s="81"/>
      <c r="F1" s="81"/>
      <c r="G1" s="81"/>
      <c r="H1" s="81"/>
      <c r="I1" s="81"/>
      <c r="J1" s="81"/>
      <c r="K1" s="81"/>
      <c r="L1" s="81"/>
      <c r="M1" s="81"/>
      <c r="N1" s="81"/>
      <c r="O1" s="81"/>
      <c r="P1" s="81"/>
      <c r="Q1" s="81"/>
      <c r="R1" s="81"/>
      <c r="S1" s="81"/>
      <c r="T1" s="81"/>
      <c r="U1" s="81"/>
      <c r="AN1" s="849">
        <f ca="1">TODAY()</f>
        <v>46099</v>
      </c>
      <c r="AO1" s="850"/>
      <c r="AP1" s="850"/>
      <c r="AQ1" s="850"/>
    </row>
    <row r="2" spans="1:89" ht="14.85" customHeight="1">
      <c r="A2" s="82"/>
      <c r="B2" s="82"/>
      <c r="C2" s="82"/>
      <c r="D2" s="82"/>
      <c r="E2" s="82"/>
      <c r="F2" s="82"/>
      <c r="G2" s="82"/>
      <c r="H2" s="82"/>
      <c r="I2" s="82"/>
      <c r="J2" s="82"/>
      <c r="K2" s="82"/>
      <c r="L2" s="82"/>
      <c r="M2" s="82"/>
      <c r="N2" s="82"/>
      <c r="O2" s="82"/>
      <c r="P2" s="82"/>
      <c r="Q2" s="82"/>
      <c r="R2" s="82"/>
      <c r="S2" s="27"/>
      <c r="T2" s="27"/>
      <c r="U2" s="27"/>
      <c r="V2" s="27"/>
      <c r="W2" s="27"/>
      <c r="X2" s="27"/>
      <c r="Y2" s="27"/>
      <c r="Z2" s="27"/>
      <c r="AA2" s="27"/>
      <c r="AB2" s="27"/>
      <c r="AC2" s="27"/>
      <c r="AD2" s="28"/>
      <c r="AE2" s="29"/>
      <c r="AF2" s="27"/>
      <c r="AG2" s="27"/>
      <c r="AH2" s="27"/>
      <c r="AI2" s="27"/>
      <c r="AJ2" s="27"/>
      <c r="AK2" s="27"/>
      <c r="AL2" s="27"/>
      <c r="AM2" s="781"/>
      <c r="AN2" s="782"/>
      <c r="AO2" s="782"/>
      <c r="AP2" s="782"/>
      <c r="AQ2" s="782"/>
      <c r="CJ2" t="s">
        <v>2710</v>
      </c>
      <c r="CK2" t="s">
        <v>2710</v>
      </c>
    </row>
    <row r="3" spans="1:89" ht="14.85" customHeight="1">
      <c r="A3" s="82"/>
      <c r="B3" s="82"/>
      <c r="C3" s="82"/>
      <c r="D3" s="82"/>
      <c r="E3" s="82"/>
      <c r="F3" s="82"/>
      <c r="G3" s="82"/>
      <c r="H3" s="82"/>
      <c r="I3" s="82"/>
      <c r="J3" s="82"/>
      <c r="K3" s="82"/>
      <c r="L3" s="82"/>
      <c r="M3" s="82"/>
      <c r="N3" s="82"/>
      <c r="O3" s="82"/>
      <c r="P3" s="82"/>
      <c r="Q3" s="82"/>
      <c r="R3" s="82"/>
      <c r="S3" s="27"/>
      <c r="T3" s="27"/>
      <c r="U3" s="27"/>
      <c r="V3" s="27"/>
      <c r="W3" s="27"/>
      <c r="X3" s="27"/>
      <c r="Y3" s="27"/>
      <c r="Z3" s="27"/>
      <c r="AA3" s="27"/>
      <c r="AB3" s="27"/>
      <c r="AC3" s="27"/>
      <c r="AD3" s="27"/>
      <c r="AE3" s="27"/>
      <c r="AF3" s="27"/>
      <c r="AG3" s="27"/>
      <c r="AH3" s="27"/>
      <c r="AI3" s="27"/>
      <c r="AJ3" s="27"/>
      <c r="AK3" s="27"/>
      <c r="AL3" s="27"/>
      <c r="AM3" s="781"/>
      <c r="AN3" s="782"/>
      <c r="AO3" s="782"/>
      <c r="AP3" s="782"/>
      <c r="AQ3" s="782"/>
      <c r="CJ3" t="s">
        <v>2711</v>
      </c>
      <c r="CK3" t="s">
        <v>2711</v>
      </c>
    </row>
    <row r="4" spans="1:89" ht="14.85" customHeight="1">
      <c r="W4" s="897">
        <f>'_souhrn (2)'!X4</f>
        <v>0</v>
      </c>
      <c r="X4" s="898"/>
      <c r="Y4" s="898"/>
      <c r="Z4" s="898"/>
      <c r="AA4" s="898"/>
      <c r="AB4" s="898"/>
      <c r="AC4" s="898"/>
      <c r="AD4" s="898"/>
      <c r="AE4" s="900" t="str">
        <f>VLOOKUP('Translate&amp;Prices&amp;Logo'!D1,kombinace_1!$EV$1:$EW$5,2,0)</f>
        <v>zl</v>
      </c>
      <c r="AF4" s="194"/>
      <c r="AG4" s="194"/>
      <c r="AH4" s="194"/>
      <c r="AI4" s="194"/>
      <c r="AJ4" s="194"/>
      <c r="AK4" s="194"/>
      <c r="AL4" s="194"/>
      <c r="AM4" s="195"/>
      <c r="AN4" s="194"/>
      <c r="AO4" s="194"/>
      <c r="AP4" s="194"/>
      <c r="CJ4" t="s">
        <v>1453</v>
      </c>
      <c r="CK4" t="s">
        <v>3424</v>
      </c>
    </row>
    <row r="5" spans="1:89" ht="14.85" customHeight="1">
      <c r="P5" s="46"/>
      <c r="Q5" s="46"/>
      <c r="R5" s="46"/>
      <c r="S5" s="46"/>
      <c r="T5" s="46"/>
      <c r="U5" s="46"/>
      <c r="V5" s="46"/>
      <c r="W5" s="898"/>
      <c r="X5" s="898"/>
      <c r="Y5" s="898"/>
      <c r="Z5" s="898"/>
      <c r="AA5" s="898"/>
      <c r="AB5" s="898"/>
      <c r="AC5" s="898"/>
      <c r="AD5" s="898"/>
      <c r="AE5" s="900"/>
      <c r="AF5" s="194"/>
      <c r="AG5" s="194"/>
      <c r="AH5" s="46"/>
      <c r="AI5" s="46"/>
      <c r="AK5" s="65"/>
      <c r="AL5" s="65"/>
      <c r="AM5" s="65"/>
      <c r="AN5" s="65"/>
      <c r="CJ5" t="s">
        <v>1458</v>
      </c>
      <c r="CK5" t="s">
        <v>3219</v>
      </c>
    </row>
    <row r="6" spans="1:89" ht="14.85" customHeight="1">
      <c r="K6" s="65"/>
      <c r="L6" s="65"/>
      <c r="M6" s="65"/>
      <c r="N6" s="65"/>
      <c r="P6" s="46"/>
      <c r="Q6" s="46"/>
      <c r="R6" s="46"/>
      <c r="S6" s="46"/>
      <c r="T6" s="46"/>
      <c r="U6" s="46"/>
      <c r="V6" s="46"/>
      <c r="X6" s="65"/>
      <c r="Y6" s="65"/>
      <c r="Z6" s="65"/>
      <c r="AA6" s="65"/>
      <c r="AC6" s="46"/>
      <c r="AD6" s="46"/>
      <c r="AE6" s="46"/>
      <c r="AF6" s="46"/>
      <c r="AG6" s="46"/>
      <c r="AH6" s="46"/>
      <c r="AI6" s="46"/>
      <c r="AK6" s="179"/>
      <c r="AL6" s="180"/>
      <c r="AM6" s="180"/>
      <c r="AN6" s="180"/>
      <c r="CJ6" t="s">
        <v>2649</v>
      </c>
      <c r="CK6" t="s">
        <v>2649</v>
      </c>
    </row>
    <row r="7" spans="1:89" ht="14.85" customHeight="1">
      <c r="K7" s="65"/>
      <c r="L7" s="65"/>
      <c r="M7" s="65"/>
      <c r="N7" s="65"/>
      <c r="P7" s="46"/>
      <c r="Q7" s="46"/>
      <c r="R7" s="46"/>
      <c r="S7" s="46"/>
      <c r="T7" s="46"/>
      <c r="U7" s="46"/>
      <c r="V7" s="46"/>
      <c r="X7" s="65"/>
      <c r="Y7" s="65"/>
      <c r="Z7" s="65"/>
      <c r="AA7" s="65"/>
      <c r="AC7" s="46"/>
      <c r="AD7" s="46"/>
      <c r="AE7" s="46"/>
      <c r="AF7" s="46"/>
      <c r="AG7" s="46"/>
      <c r="AH7" s="46"/>
      <c r="AI7" s="46"/>
      <c r="AK7" s="180"/>
      <c r="AL7" s="180"/>
      <c r="AM7" s="180"/>
      <c r="AN7" s="180"/>
      <c r="CJ7" t="s">
        <v>2650</v>
      </c>
      <c r="CK7" t="s">
        <v>2650</v>
      </c>
    </row>
    <row r="8" spans="1:89" ht="13.35" customHeight="1" thickBot="1">
      <c r="CJ8" t="s">
        <v>1172</v>
      </c>
      <c r="CK8" t="s">
        <v>2676</v>
      </c>
    </row>
    <row r="9" spans="1:89" ht="35.1" customHeight="1" thickBot="1">
      <c r="I9" s="178"/>
      <c r="J9" s="178"/>
      <c r="K9" s="178"/>
      <c r="L9" s="178"/>
      <c r="M9" s="178"/>
      <c r="N9" s="178"/>
      <c r="O9" s="178"/>
      <c r="P9" s="178"/>
      <c r="Q9" s="178"/>
      <c r="R9" s="178"/>
      <c r="S9" s="178"/>
      <c r="T9" s="178"/>
      <c r="U9" s="178"/>
      <c r="V9" s="869" t="str">
        <f>'Translate&amp;Prices&amp;Logo'!$O$256</f>
        <v>Numer zamówienia</v>
      </c>
      <c r="W9" s="869"/>
      <c r="X9" s="869"/>
      <c r="Y9" s="869"/>
      <c r="Z9" s="869"/>
      <c r="AA9" s="113"/>
      <c r="AB9" s="866"/>
      <c r="AC9" s="867"/>
      <c r="AD9" s="867"/>
      <c r="AE9" s="867"/>
      <c r="AF9" s="867"/>
      <c r="AG9" s="867"/>
      <c r="AH9" s="867"/>
      <c r="AI9" s="867"/>
      <c r="AJ9" s="867"/>
      <c r="AK9" s="867"/>
      <c r="AL9" s="867"/>
      <c r="AM9" s="867"/>
      <c r="AN9" s="868"/>
      <c r="AQ9" s="880" t="s">
        <v>1727</v>
      </c>
      <c r="CJ9" t="s">
        <v>1180</v>
      </c>
      <c r="CK9" t="s">
        <v>2679</v>
      </c>
    </row>
    <row r="10" spans="1:89" ht="16.350000000000001" customHeight="1">
      <c r="V10" s="865" t="str">
        <f>'Translate&amp;Prices&amp;Logo'!$O$542</f>
        <v>Połączenie 2 profili</v>
      </c>
      <c r="W10" s="865"/>
      <c r="X10" s="865"/>
      <c r="Y10" s="865"/>
      <c r="Z10" s="865"/>
      <c r="AA10" s="113"/>
      <c r="AB10" s="879" t="str">
        <f>IF(kombinace_1!$H$1=TRUE,"Tak","Nie")</f>
        <v>Nie</v>
      </c>
      <c r="AC10" s="879"/>
      <c r="AD10" s="879"/>
      <c r="AE10" s="879"/>
      <c r="AF10" s="879"/>
      <c r="AG10" s="879"/>
      <c r="AH10" s="879"/>
      <c r="AI10" s="879"/>
      <c r="AJ10" s="879"/>
      <c r="AK10" s="879"/>
      <c r="AL10" s="879"/>
      <c r="AM10" s="879"/>
      <c r="AN10" s="879"/>
      <c r="AQ10" s="880"/>
      <c r="CJ10" t="s">
        <v>1186</v>
      </c>
      <c r="CK10" t="s">
        <v>1186</v>
      </c>
    </row>
    <row r="11" spans="1:89" ht="16.350000000000001" customHeight="1">
      <c r="V11" s="865" t="str">
        <f>'Translate&amp;Prices&amp;Logo'!$O$172</f>
        <v>Rodzaj profilu</v>
      </c>
      <c r="W11" s="865"/>
      <c r="X11" s="865"/>
      <c r="Y11" s="865"/>
      <c r="Z11" s="865"/>
      <c r="AA11" s="113"/>
      <c r="AB11" s="864">
        <f>IFERROR(VLOOKUP(Ram_1!$H$8,'Translate&amp;Prices&amp;Logo'!AA:AB,2,0),Ram_1!$H$8)</f>
        <v>0</v>
      </c>
      <c r="AC11" s="864"/>
      <c r="AD11" s="864"/>
      <c r="AE11" s="864"/>
      <c r="AF11" s="864"/>
      <c r="AG11" s="864"/>
      <c r="AH11" s="864"/>
      <c r="AI11" s="864"/>
      <c r="AJ11" s="864"/>
      <c r="AK11" s="864"/>
      <c r="AL11" s="864"/>
      <c r="AM11" s="864"/>
      <c r="AN11" s="864"/>
      <c r="AQ11" s="880"/>
      <c r="CJ11" t="s">
        <v>1452</v>
      </c>
      <c r="CK11" t="s">
        <v>3217</v>
      </c>
    </row>
    <row r="12" spans="1:89" ht="16.350000000000001" customHeight="1">
      <c r="V12" s="865" t="str">
        <f>'Translate&amp;Prices&amp;Logo'!$O$543</f>
        <v>Szprosy</v>
      </c>
      <c r="W12" s="865"/>
      <c r="X12" s="865"/>
      <c r="Y12" s="865"/>
      <c r="Z12" s="865"/>
      <c r="AA12" s="113"/>
      <c r="AB12" s="864" t="str">
        <f t="array" ref="AB12">IFERROR(VLOOKUP(Ram_1!$AU$10,AT12:AU15,2,0),Nie)</f>
        <v>Nie</v>
      </c>
      <c r="AC12" s="864"/>
      <c r="AD12" s="864"/>
      <c r="AE12" s="864"/>
      <c r="AF12" s="864"/>
      <c r="AG12" s="864"/>
      <c r="AH12" s="864"/>
      <c r="AI12" s="864"/>
      <c r="AJ12" s="864"/>
      <c r="AK12" s="864"/>
      <c r="AL12" s="864"/>
      <c r="AM12" s="864"/>
      <c r="AN12" s="864"/>
      <c r="AQ12" s="880"/>
      <c r="AT12">
        <v>0</v>
      </c>
      <c r="AU12" t="str">
        <f>'Translate&amp;Prices&amp;Logo'!$O$557</f>
        <v>Nie</v>
      </c>
      <c r="AY12">
        <v>2</v>
      </c>
      <c r="AZ12" t="str">
        <f>'Translate&amp;Prices&amp;Logo'!$O$551</f>
        <v>Zawiasy</v>
      </c>
      <c r="BC12" s="1" t="s">
        <v>69</v>
      </c>
      <c r="BD12" s="1" t="s">
        <v>222</v>
      </c>
      <c r="BH12" s="1" t="s">
        <v>52</v>
      </c>
      <c r="BI12" s="1" t="s">
        <v>216</v>
      </c>
      <c r="BL12" s="1" t="s">
        <v>107</v>
      </c>
      <c r="BM12" s="1" t="s">
        <v>253</v>
      </c>
      <c r="BR12" s="1" t="s">
        <v>113</v>
      </c>
      <c r="BS12" s="1" t="s">
        <v>1239</v>
      </c>
      <c r="BW12" s="1">
        <v>1</v>
      </c>
      <c r="BX12" s="1" t="str">
        <f>'Translate&amp;Prices&amp;Logo'!$O$100</f>
        <v>Bez modyfikacji</v>
      </c>
      <c r="BZ12" t="s">
        <v>1039</v>
      </c>
      <c r="CA12" t="s">
        <v>1439</v>
      </c>
      <c r="CJ12" t="s">
        <v>1457</v>
      </c>
      <c r="CK12" t="s">
        <v>3218</v>
      </c>
    </row>
    <row r="13" spans="1:89" ht="16.350000000000001" customHeight="1">
      <c r="V13" s="183"/>
      <c r="W13" s="183"/>
      <c r="X13" s="183"/>
      <c r="Y13" s="183"/>
      <c r="Z13" s="183"/>
      <c r="AA13" s="113"/>
      <c r="AB13" s="881" t="b">
        <f>IF(OR(Ram_1!$AU$10=1,Ram_1!$AU$10=3),'Translate&amp;Prices&amp;Logo'!O558)</f>
        <v>0</v>
      </c>
      <c r="AC13" s="881"/>
      <c r="AD13" s="881"/>
      <c r="AE13" s="881"/>
      <c r="AF13" s="881"/>
      <c r="AG13" s="881"/>
      <c r="AH13" s="881"/>
      <c r="AI13" s="881" t="b">
        <f>IF(OR(Ram_1!$AU$10=2,Ram_1!$AU$10=3),'Translate&amp;Prices&amp;Logo'!O559)</f>
        <v>0</v>
      </c>
      <c r="AJ13" s="881"/>
      <c r="AK13" s="881"/>
      <c r="AL13" s="881"/>
      <c r="AM13" s="881"/>
      <c r="AN13" s="881"/>
      <c r="AQ13" s="880"/>
      <c r="AT13">
        <v>1</v>
      </c>
      <c r="AU13" t="str">
        <f>'Translate&amp;Prices&amp;Logo'!$O$558</f>
        <v>Poziomo (termin dostawy 4 tygodnie)</v>
      </c>
      <c r="AY13">
        <v>3</v>
      </c>
      <c r="AZ13" t="str">
        <f>'Translate&amp;Prices&amp;Logo'!$O$552</f>
        <v>Podnośniki</v>
      </c>
      <c r="BC13" s="1" t="s">
        <v>70</v>
      </c>
      <c r="BD13" s="1" t="s">
        <v>223</v>
      </c>
      <c r="BH13" s="1" t="s">
        <v>51</v>
      </c>
      <c r="BI13" s="1" t="s">
        <v>217</v>
      </c>
      <c r="BL13" s="1" t="s">
        <v>108</v>
      </c>
      <c r="BM13" s="1" t="s">
        <v>254</v>
      </c>
      <c r="BR13" s="1" t="s">
        <v>114</v>
      </c>
      <c r="BS13" s="1" t="s">
        <v>1424</v>
      </c>
      <c r="BW13" s="1">
        <v>2</v>
      </c>
      <c r="BX13" s="1" t="str">
        <f>'Translate&amp;Prices&amp;Logo'!$O$101</f>
        <v>Hartowane</v>
      </c>
      <c r="BZ13" t="s">
        <v>1042</v>
      </c>
      <c r="CA13" t="s">
        <v>1440</v>
      </c>
      <c r="CJ13" t="s">
        <v>1173</v>
      </c>
      <c r="CK13" t="s">
        <v>3116</v>
      </c>
    </row>
    <row r="14" spans="1:89" ht="16.350000000000001" customHeight="1">
      <c r="V14" s="865" t="str">
        <f>('Translate&amp;Prices&amp;Logo'!$O$543)&amp;" "&amp;"("&amp;'Translate&amp;Prices&amp;Logo'!$O$174&amp;")"</f>
        <v>Szprosy (Ilość sztuk)</v>
      </c>
      <c r="W14" s="865"/>
      <c r="X14" s="865"/>
      <c r="Y14" s="865"/>
      <c r="Z14" s="865"/>
      <c r="AA14" s="113"/>
      <c r="AB14" s="864">
        <f>Ram_1!$H$11</f>
        <v>0</v>
      </c>
      <c r="AC14" s="864"/>
      <c r="AD14" s="864"/>
      <c r="AE14" s="864"/>
      <c r="AF14" s="864"/>
      <c r="AG14" s="864"/>
      <c r="AH14" s="864"/>
      <c r="AI14" s="864">
        <f>Ram_1!$M$11</f>
        <v>0</v>
      </c>
      <c r="AJ14" s="864"/>
      <c r="AK14" s="864"/>
      <c r="AL14" s="864"/>
      <c r="AM14" s="864"/>
      <c r="AN14" s="864"/>
      <c r="AQ14" s="880"/>
      <c r="AT14">
        <v>2</v>
      </c>
      <c r="AU14" t="str">
        <f>'Translate&amp;Prices&amp;Logo'!$O$559</f>
        <v>Pionowo (termin dostawy 4 tygodnie)</v>
      </c>
      <c r="BC14" s="1" t="s">
        <v>71</v>
      </c>
      <c r="BD14" s="1" t="s">
        <v>1254</v>
      </c>
      <c r="BH14" s="1" t="s">
        <v>160</v>
      </c>
      <c r="BI14" s="1" t="s">
        <v>216</v>
      </c>
      <c r="BL14" s="1" t="s">
        <v>110</v>
      </c>
      <c r="BM14" s="1" t="s">
        <v>255</v>
      </c>
      <c r="BR14" s="1" t="s">
        <v>104</v>
      </c>
      <c r="BS14" s="1" t="s">
        <v>250</v>
      </c>
      <c r="BW14" s="1">
        <v>3</v>
      </c>
      <c r="BX14" s="1" t="str">
        <f>'Translate&amp;Prices&amp;Logo'!$O$102</f>
        <v>Folia</v>
      </c>
      <c r="BZ14" t="s">
        <v>1045</v>
      </c>
      <c r="CA14" t="s">
        <v>1441</v>
      </c>
      <c r="CJ14" t="s">
        <v>1181</v>
      </c>
      <c r="CK14" t="s">
        <v>3117</v>
      </c>
    </row>
    <row r="15" spans="1:89" ht="16.350000000000001" customHeight="1">
      <c r="V15" s="865" t="str">
        <f>'Translate&amp;Prices&amp;Logo'!$O$258</f>
        <v>Typ okucia</v>
      </c>
      <c r="W15" s="865"/>
      <c r="X15" s="865"/>
      <c r="Y15" s="865"/>
      <c r="Z15" s="865"/>
      <c r="AA15" s="113"/>
      <c r="AB15" s="864">
        <f>IFERROR(VLOOKUP(Ram_1!$AU$9,AY12:AZ13,2,0),0)</f>
        <v>0</v>
      </c>
      <c r="AC15" s="864"/>
      <c r="AD15" s="864"/>
      <c r="AE15" s="864"/>
      <c r="AF15" s="864"/>
      <c r="AG15" s="864"/>
      <c r="AH15" s="864"/>
      <c r="AI15" s="864"/>
      <c r="AJ15" s="864"/>
      <c r="AK15" s="864"/>
      <c r="AL15" s="864"/>
      <c r="AM15" s="864"/>
      <c r="AN15" s="864"/>
      <c r="AQ15" s="880"/>
      <c r="AT15">
        <v>3</v>
      </c>
      <c r="AU15" t="str">
        <f>'Translate&amp;Prices&amp;Logo'!$O$560</f>
        <v>Poziomo i pionowo (termin dostawy 4 tygodnie)</v>
      </c>
      <c r="BC15" s="1" t="s">
        <v>69</v>
      </c>
      <c r="BD15" s="1" t="s">
        <v>222</v>
      </c>
      <c r="BH15" s="1" t="s">
        <v>161</v>
      </c>
      <c r="BI15" s="1" t="s">
        <v>217</v>
      </c>
      <c r="BL15" s="1" t="s">
        <v>109</v>
      </c>
      <c r="BM15" s="1" t="s">
        <v>256</v>
      </c>
      <c r="BR15" s="1" t="s">
        <v>103</v>
      </c>
      <c r="BS15" s="1" t="s">
        <v>251</v>
      </c>
      <c r="BZ15" t="s">
        <v>1328</v>
      </c>
      <c r="CA15" t="s">
        <v>1439</v>
      </c>
      <c r="CJ15" t="s">
        <v>1174</v>
      </c>
      <c r="CK15" t="s">
        <v>2677</v>
      </c>
    </row>
    <row r="16" spans="1:89" ht="16.350000000000001" customHeight="1">
      <c r="V16" s="865" t="str">
        <f>'Translate&amp;Prices&amp;Logo'!$O$544</f>
        <v>Marka okucia</v>
      </c>
      <c r="W16" s="865"/>
      <c r="X16" s="865"/>
      <c r="Y16" s="865"/>
      <c r="Z16" s="865"/>
      <c r="AA16" s="113"/>
      <c r="AB16" s="864">
        <f>Ram_1!$H$13</f>
        <v>0</v>
      </c>
      <c r="AC16" s="864"/>
      <c r="AD16" s="864"/>
      <c r="AE16" s="864"/>
      <c r="AF16" s="864"/>
      <c r="AG16" s="864"/>
      <c r="AH16" s="864"/>
      <c r="AI16" s="864"/>
      <c r="AJ16" s="864"/>
      <c r="AK16" s="864"/>
      <c r="AL16" s="864"/>
      <c r="AM16" s="864"/>
      <c r="AN16" s="864"/>
      <c r="AQ16" s="880"/>
      <c r="BC16" s="1" t="s">
        <v>70</v>
      </c>
      <c r="BD16" s="1" t="s">
        <v>223</v>
      </c>
      <c r="BH16" s="1" t="s">
        <v>410</v>
      </c>
      <c r="BI16" s="1" t="s">
        <v>216</v>
      </c>
      <c r="BL16" s="1" t="s">
        <v>111</v>
      </c>
      <c r="BM16" s="1" t="s">
        <v>1425</v>
      </c>
      <c r="BR16" s="1" t="s">
        <v>1241</v>
      </c>
      <c r="BS16" s="1" t="s">
        <v>1239</v>
      </c>
      <c r="BZ16" t="s">
        <v>1329</v>
      </c>
      <c r="CA16" t="s">
        <v>1440</v>
      </c>
      <c r="CJ16" t="s">
        <v>1153</v>
      </c>
      <c r="CK16" t="s">
        <v>1153</v>
      </c>
    </row>
    <row r="17" spans="18:89" ht="16.350000000000001" customHeight="1" thickBot="1">
      <c r="V17" s="865" t="str">
        <f>'Translate&amp;Prices&amp;Logo'!$O$546</f>
        <v>Nałożenie</v>
      </c>
      <c r="W17" s="865"/>
      <c r="X17" s="865"/>
      <c r="Y17" s="865"/>
      <c r="Z17" s="865"/>
      <c r="AA17" s="113"/>
      <c r="AB17" s="864">
        <f>IFERROR(VLOOKUP(Ram_1!$H$14,BC12:BD26,2,0),0)</f>
        <v>0</v>
      </c>
      <c r="AC17" s="864"/>
      <c r="AD17" s="864"/>
      <c r="AE17" s="864"/>
      <c r="AF17" s="864"/>
      <c r="AG17" s="864"/>
      <c r="AH17" s="864"/>
      <c r="AI17" s="864"/>
      <c r="AJ17" s="864"/>
      <c r="AK17" s="864"/>
      <c r="AL17" s="864"/>
      <c r="AM17" s="864"/>
      <c r="AN17" s="864"/>
      <c r="AQ17" s="880"/>
      <c r="BC17" s="1" t="s">
        <v>71</v>
      </c>
      <c r="BD17" s="1" t="s">
        <v>1254</v>
      </c>
      <c r="BH17" s="1" t="s">
        <v>283</v>
      </c>
      <c r="BI17" s="1" t="s">
        <v>217</v>
      </c>
      <c r="BL17" s="1" t="s">
        <v>193</v>
      </c>
      <c r="BM17" s="1" t="s">
        <v>253</v>
      </c>
      <c r="BR17" s="1" t="s">
        <v>114</v>
      </c>
      <c r="BS17" s="1" t="s">
        <v>1424</v>
      </c>
      <c r="BZ17" t="s">
        <v>1330</v>
      </c>
      <c r="CA17" t="s">
        <v>1441</v>
      </c>
      <c r="CJ17" t="s">
        <v>1163</v>
      </c>
      <c r="CK17" t="s">
        <v>1163</v>
      </c>
    </row>
    <row r="18" spans="18:89" ht="16.350000000000001" customHeight="1">
      <c r="R18" s="875">
        <f>Ram_1!AR14</f>
        <v>0</v>
      </c>
      <c r="V18" s="865" t="str">
        <f>'Translate&amp;Prices&amp;Logo'!$O$545</f>
        <v>Wariant okucia</v>
      </c>
      <c r="W18" s="865"/>
      <c r="X18" s="865"/>
      <c r="Y18" s="865"/>
      <c r="Z18" s="865"/>
      <c r="AA18" s="113"/>
      <c r="AB18" s="891">
        <f>IFERROR(VLOOKUP(Ram_1!$H$15,kombinace_1!$ED:$EE,2,0),Ram_1!$H$15)</f>
        <v>0</v>
      </c>
      <c r="AC18" s="891"/>
      <c r="AD18" s="891"/>
      <c r="AE18" s="891"/>
      <c r="AF18" s="891"/>
      <c r="AG18" s="891"/>
      <c r="AH18" s="891"/>
      <c r="AI18" s="304" t="str">
        <f>IF(AB18='Translate&amp;Prices&amp;Logo'!C698,VLOOKUP(Ram_1!H17,'Translate&amp;Prices&amp;Logo'!C699:D718,2,0),"")</f>
        <v/>
      </c>
      <c r="AJ18" s="304"/>
      <c r="AK18" s="304"/>
      <c r="AL18" s="304"/>
      <c r="AM18" s="304"/>
      <c r="AN18" s="304"/>
      <c r="AQ18" s="880"/>
      <c r="BC18" s="1" t="s">
        <v>222</v>
      </c>
      <c r="BD18" s="1" t="s">
        <v>222</v>
      </c>
      <c r="BH18" s="1" t="s">
        <v>1468</v>
      </c>
      <c r="BI18" s="1" t="s">
        <v>216</v>
      </c>
      <c r="BL18" s="1" t="s">
        <v>194</v>
      </c>
      <c r="BM18" s="1" t="s">
        <v>254</v>
      </c>
      <c r="BR18" s="1" t="s">
        <v>189</v>
      </c>
      <c r="BS18" s="1" t="s">
        <v>250</v>
      </c>
      <c r="BZ18" t="s">
        <v>1439</v>
      </c>
      <c r="CA18" t="s">
        <v>1439</v>
      </c>
      <c r="CJ18" t="s">
        <v>1182</v>
      </c>
      <c r="CK18" t="s">
        <v>2680</v>
      </c>
    </row>
    <row r="19" spans="18:89" ht="16.350000000000001" customHeight="1">
      <c r="R19" s="876">
        <f>Ram_1!AR15</f>
        <v>0</v>
      </c>
      <c r="V19" s="865" t="str">
        <f>'Translate&amp;Prices&amp;Logo'!$O$218</f>
        <v>Wybierz pozycję ramki</v>
      </c>
      <c r="W19" s="865"/>
      <c r="X19" s="865"/>
      <c r="Y19" s="865"/>
      <c r="Z19" s="865"/>
      <c r="AA19" s="864">
        <f>IFERROR(VLOOKUP(Ram_1!$F$16,BH12:BI21,2,0),0)</f>
        <v>0</v>
      </c>
      <c r="AB19" s="864"/>
      <c r="AC19" s="864"/>
      <c r="AD19" s="864"/>
      <c r="AE19" s="864"/>
      <c r="AF19" s="865" t="str">
        <f>'Translate&amp;Prices&amp;Logo'!$O$232</f>
        <v>Rodzaj drugiej ramki</v>
      </c>
      <c r="AG19" s="865"/>
      <c r="AH19" s="865"/>
      <c r="AI19" s="865"/>
      <c r="AJ19" s="865"/>
      <c r="AK19" s="864">
        <f>IFERROR(VLOOKUP(Ram_1!$N$16,BL12:BM36,2,0),0)</f>
        <v>0</v>
      </c>
      <c r="AL19" s="864"/>
      <c r="AM19" s="864"/>
      <c r="AN19" s="864"/>
      <c r="AQ19" s="880"/>
      <c r="BC19" s="1" t="s">
        <v>223</v>
      </c>
      <c r="BD19" s="1" t="s">
        <v>223</v>
      </c>
      <c r="BH19" s="1" t="s">
        <v>1469</v>
      </c>
      <c r="BI19" s="1" t="s">
        <v>217</v>
      </c>
      <c r="BL19" s="1" t="s">
        <v>195</v>
      </c>
      <c r="BM19" s="1" t="s">
        <v>255</v>
      </c>
      <c r="BR19" s="1" t="s">
        <v>190</v>
      </c>
      <c r="BS19" s="1" t="s">
        <v>251</v>
      </c>
      <c r="BZ19" t="s">
        <v>1440</v>
      </c>
      <c r="CA19" t="s">
        <v>1440</v>
      </c>
      <c r="CJ19" t="s">
        <v>1177</v>
      </c>
      <c r="CK19" t="s">
        <v>2678</v>
      </c>
    </row>
    <row r="20" spans="18:89" ht="16.350000000000001" customHeight="1">
      <c r="R20" s="876">
        <f>Ram_1!AR16</f>
        <v>0</v>
      </c>
      <c r="V20" s="865" t="str">
        <f>IF(AB15='Translate&amp;Prices&amp;Logo'!O551,'Translate&amp;Prices&amp;Logo'!O238,'Translate&amp;Prices&amp;Logo'!$O$226)</f>
        <v>Umieszczenie</v>
      </c>
      <c r="W20" s="865"/>
      <c r="X20" s="865"/>
      <c r="Y20" s="865"/>
      <c r="Z20" s="865"/>
      <c r="AA20" s="113"/>
      <c r="AB20" s="901" t="str">
        <f>IFERROR((IF(Ram_1!H12='Translate&amp;Prices&amp;Logo'!B552,VLOOKUP(Ram_1!$N$16,BR48:BS67,2,0),VLOOKUP(Ram_1!$H$17,BR48:BS67,2,0))),"")</f>
        <v/>
      </c>
      <c r="AC20" s="901"/>
      <c r="AD20" s="901"/>
      <c r="AE20" s="901"/>
      <c r="AF20" s="901"/>
      <c r="AG20" s="901"/>
      <c r="AH20" s="901"/>
      <c r="AI20" s="893"/>
      <c r="AJ20" s="893"/>
      <c r="AK20" s="893"/>
      <c r="AL20" s="893"/>
      <c r="AM20" s="893"/>
      <c r="AN20" s="893"/>
      <c r="AQ20" s="880"/>
      <c r="BC20" s="1" t="s">
        <v>1254</v>
      </c>
      <c r="BD20" s="1" t="s">
        <v>1254</v>
      </c>
      <c r="BH20" s="1" t="s">
        <v>216</v>
      </c>
      <c r="BI20" s="1" t="s">
        <v>216</v>
      </c>
      <c r="BL20" s="1" t="s">
        <v>196</v>
      </c>
      <c r="BM20" s="1" t="s">
        <v>256</v>
      </c>
      <c r="BR20" s="1" t="s">
        <v>1239</v>
      </c>
      <c r="BS20" s="1" t="s">
        <v>1239</v>
      </c>
      <c r="BZ20" t="s">
        <v>1441</v>
      </c>
      <c r="CA20" t="s">
        <v>1441</v>
      </c>
      <c r="CJ20" t="s">
        <v>1156</v>
      </c>
      <c r="CK20" t="s">
        <v>1156</v>
      </c>
    </row>
    <row r="21" spans="18:89" ht="16.350000000000001" customHeight="1">
      <c r="R21" s="876">
        <f>Ram_1!AR17</f>
        <v>0</v>
      </c>
      <c r="V21" s="865" t="str">
        <f>'Translate&amp;Prices&amp;Logo'!$O$547</f>
        <v>Zawiasy do podnośników</v>
      </c>
      <c r="W21" s="865"/>
      <c r="X21" s="865"/>
      <c r="Y21" s="865"/>
      <c r="Z21" s="865"/>
      <c r="AA21" s="113"/>
      <c r="AB21" s="864" t="str">
        <f>IFERROR((VLOOKUP(Ram_1!$H$18,CJ:CK,2,0)),"")</f>
        <v/>
      </c>
      <c r="AC21" s="864"/>
      <c r="AD21" s="864"/>
      <c r="AE21" s="864"/>
      <c r="AF21" s="864"/>
      <c r="AG21" s="864"/>
      <c r="AH21" s="864"/>
      <c r="AI21" s="864"/>
      <c r="AJ21" s="864"/>
      <c r="AK21" s="864"/>
      <c r="AL21" s="864"/>
      <c r="AM21" s="864"/>
      <c r="AN21" s="864"/>
      <c r="AQ21" s="880"/>
      <c r="BC21" s="1" t="s">
        <v>286</v>
      </c>
      <c r="BD21" s="1" t="s">
        <v>222</v>
      </c>
      <c r="BH21" s="1" t="s">
        <v>217</v>
      </c>
      <c r="BI21" s="1" t="s">
        <v>217</v>
      </c>
      <c r="BL21" s="1" t="s">
        <v>197</v>
      </c>
      <c r="BM21" s="1" t="s">
        <v>1425</v>
      </c>
      <c r="BR21" s="1" t="s">
        <v>1424</v>
      </c>
      <c r="BS21" s="1" t="s">
        <v>1424</v>
      </c>
      <c r="BZ21" t="s">
        <v>1331</v>
      </c>
      <c r="CA21" t="s">
        <v>1439</v>
      </c>
      <c r="CJ21" t="s">
        <v>1183</v>
      </c>
      <c r="CK21" t="s">
        <v>3118</v>
      </c>
    </row>
    <row r="22" spans="18:89" ht="16.350000000000001" customHeight="1">
      <c r="R22" s="876">
        <f>Ram_1!AR18</f>
        <v>0</v>
      </c>
      <c r="V22" s="865" t="str">
        <f>'Translate&amp;Prices&amp;Logo'!$O$223</f>
        <v>Ilość zawiasów na 1 ramkę</v>
      </c>
      <c r="W22" s="865"/>
      <c r="X22" s="865"/>
      <c r="Y22" s="865"/>
      <c r="Z22" s="865"/>
      <c r="AA22" s="113"/>
      <c r="AB22" s="864">
        <f>Ram_1!$H$19</f>
        <v>0</v>
      </c>
      <c r="AC22" s="864"/>
      <c r="AD22" s="864"/>
      <c r="AE22" s="864"/>
      <c r="AF22" s="864"/>
      <c r="AG22" s="864"/>
      <c r="AH22" s="864"/>
      <c r="AI22" s="864"/>
      <c r="AJ22" s="864"/>
      <c r="AK22" s="864"/>
      <c r="AL22" s="864"/>
      <c r="AM22" s="864"/>
      <c r="AN22" s="864"/>
      <c r="AQ22" s="880"/>
      <c r="BC22" s="1" t="s">
        <v>287</v>
      </c>
      <c r="BD22" s="1" t="s">
        <v>223</v>
      </c>
      <c r="BL22" s="1" t="s">
        <v>253</v>
      </c>
      <c r="BM22" s="1" t="s">
        <v>253</v>
      </c>
      <c r="BR22" s="1" t="s">
        <v>250</v>
      </c>
      <c r="BS22" s="1" t="s">
        <v>250</v>
      </c>
      <c r="BZ22" t="s">
        <v>1414</v>
      </c>
      <c r="CA22" t="s">
        <v>1440</v>
      </c>
      <c r="CJ22" t="s">
        <v>1184</v>
      </c>
      <c r="CK22" t="s">
        <v>2681</v>
      </c>
    </row>
    <row r="23" spans="18:89" ht="16.350000000000001" customHeight="1">
      <c r="R23" s="877" t="str">
        <f>'Translate&amp;Prices&amp;Logo'!$O$176</f>
        <v>Wysokość</v>
      </c>
      <c r="V23" s="865" t="str">
        <f>IFERROR(('Translate&amp;Prices&amp;Logo'!$O$242&amp;" "&amp;VLOOKUP(Ram_1!H17,kombinace_1!BY32:CD35,5,0)),"")</f>
        <v/>
      </c>
      <c r="W23" s="865"/>
      <c r="X23" s="865"/>
      <c r="Y23" s="865"/>
      <c r="Z23" s="865"/>
      <c r="AA23" s="864">
        <f>Ram_1!$F$20</f>
        <v>100</v>
      </c>
      <c r="AB23" s="864"/>
      <c r="AC23" s="864"/>
      <c r="AD23" s="864"/>
      <c r="AE23" s="864"/>
      <c r="AF23" s="865" t="str">
        <f>IFERROR(('Translate&amp;Prices&amp;Logo'!$O$242&amp;" "&amp;VLOOKUP(Ram_1!H17,kombinace_1!$BY$32:$CD$35,6,0)),"")</f>
        <v/>
      </c>
      <c r="AG23" s="865"/>
      <c r="AH23" s="865"/>
      <c r="AI23" s="865"/>
      <c r="AJ23" s="865"/>
      <c r="AK23" s="864">
        <f>Ram_1!$N$20</f>
        <v>100</v>
      </c>
      <c r="AL23" s="864"/>
      <c r="AM23" s="864"/>
      <c r="AN23" s="864"/>
      <c r="AQ23" s="880"/>
      <c r="BC23" s="1" t="s">
        <v>288</v>
      </c>
      <c r="BD23" s="1" t="s">
        <v>1254</v>
      </c>
      <c r="BL23" s="1" t="s">
        <v>254</v>
      </c>
      <c r="BM23" s="1" t="s">
        <v>254</v>
      </c>
      <c r="BR23" s="1" t="s">
        <v>251</v>
      </c>
      <c r="BS23" s="1" t="s">
        <v>251</v>
      </c>
      <c r="BZ23" t="s">
        <v>1332</v>
      </c>
      <c r="CA23" t="s">
        <v>1441</v>
      </c>
      <c r="CJ23" t="s">
        <v>1455</v>
      </c>
      <c r="CK23" t="s">
        <v>3220</v>
      </c>
    </row>
    <row r="24" spans="18:89" ht="16.350000000000001" customHeight="1">
      <c r="R24" s="877">
        <f>Ram_1!AR20</f>
        <v>0</v>
      </c>
      <c r="V24" s="865" t="str">
        <f>'Translate&amp;Prices&amp;Logo'!$O$653</f>
        <v>Wypełnienie z siatki</v>
      </c>
      <c r="W24" s="865"/>
      <c r="X24" s="865"/>
      <c r="Y24" s="865"/>
      <c r="Z24" s="865"/>
      <c r="AA24" s="113"/>
      <c r="AB24" s="863" t="str">
        <f>IF(kombinace_1!FC2=TRUE,"Tak","Nie")</f>
        <v>Nie</v>
      </c>
      <c r="AC24" s="863"/>
      <c r="AD24" s="863"/>
      <c r="AE24" s="863"/>
      <c r="AF24" s="863"/>
      <c r="AG24" s="863"/>
      <c r="AH24" s="863"/>
      <c r="AI24" s="863"/>
      <c r="AJ24" s="863"/>
      <c r="AK24" s="863"/>
      <c r="AL24" s="863"/>
      <c r="AM24" s="863"/>
      <c r="AN24" s="863"/>
      <c r="AQ24" s="880"/>
      <c r="BC24" s="1" t="s">
        <v>1716</v>
      </c>
      <c r="BD24" s="1" t="s">
        <v>222</v>
      </c>
      <c r="BL24" s="1" t="s">
        <v>255</v>
      </c>
      <c r="BM24" s="1" t="s">
        <v>255</v>
      </c>
      <c r="BR24" s="1" t="s">
        <v>1240</v>
      </c>
      <c r="BS24" s="1" t="s">
        <v>1239</v>
      </c>
      <c r="BZ24" t="s">
        <v>1520</v>
      </c>
      <c r="CA24" t="s">
        <v>1439</v>
      </c>
      <c r="CJ24" t="s">
        <v>1165</v>
      </c>
      <c r="CK24" t="s">
        <v>1165</v>
      </c>
    </row>
    <row r="25" spans="18:89" ht="16.350000000000001" customHeight="1">
      <c r="R25" s="877">
        <f>Ram_1!AR21</f>
        <v>0</v>
      </c>
      <c r="V25" s="865" t="str">
        <f>'Translate&amp;Prices&amp;Logo'!$O$173</f>
        <v>Rodzaj szkła</v>
      </c>
      <c r="W25" s="865"/>
      <c r="X25" s="865"/>
      <c r="Y25" s="865"/>
      <c r="Z25" s="865"/>
      <c r="AA25" s="113"/>
      <c r="AB25" s="864" t="str">
        <f>IFERROR(VLOOKUP(kombinace_1!$V$1,BW12:BX14,2,0),0)</f>
        <v>Bez modyfikacji</v>
      </c>
      <c r="AC25" s="864"/>
      <c r="AD25" s="864"/>
      <c r="AE25" s="864"/>
      <c r="AF25" s="864"/>
      <c r="AG25" s="864"/>
      <c r="AH25" s="864"/>
      <c r="AI25" s="864"/>
      <c r="AJ25" s="864"/>
      <c r="AK25" s="864"/>
      <c r="AL25" s="864"/>
      <c r="AM25" s="864"/>
      <c r="AN25" s="864"/>
      <c r="AQ25" s="880"/>
      <c r="BC25" s="1" t="s">
        <v>1573</v>
      </c>
      <c r="BD25" s="1" t="s">
        <v>223</v>
      </c>
      <c r="BL25" s="1" t="s">
        <v>256</v>
      </c>
      <c r="BM25" s="1" t="s">
        <v>256</v>
      </c>
      <c r="BR25" s="1" t="s">
        <v>1242</v>
      </c>
      <c r="BS25" s="1" t="s">
        <v>1424</v>
      </c>
      <c r="BZ25" t="s">
        <v>1521</v>
      </c>
      <c r="CA25" t="s">
        <v>1440</v>
      </c>
      <c r="CJ25" t="s">
        <v>1178</v>
      </c>
      <c r="CK25" t="s">
        <v>3119</v>
      </c>
    </row>
    <row r="26" spans="18:89" ht="16.350000000000001" customHeight="1">
      <c r="R26" s="877">
        <f>Ram_1!AR22</f>
        <v>0</v>
      </c>
      <c r="V26" s="865" t="str">
        <f>'Translate&amp;Prices&amp;Logo'!$O$562</f>
        <v>Rodzaj folii</v>
      </c>
      <c r="W26" s="865"/>
      <c r="X26" s="865"/>
      <c r="Y26" s="865"/>
      <c r="Z26" s="865"/>
      <c r="AA26" s="113"/>
      <c r="AB26" s="864">
        <f>IFERROR(VLOOKUP(Ram_1!$H$24,BZ12:CA26,2,0),0)</f>
        <v>0</v>
      </c>
      <c r="AC26" s="864"/>
      <c r="AD26" s="864"/>
      <c r="AE26" s="864"/>
      <c r="AF26" s="864"/>
      <c r="AG26" s="864"/>
      <c r="AH26" s="864"/>
      <c r="AI26" s="864"/>
      <c r="AJ26" s="864"/>
      <c r="AK26" s="864"/>
      <c r="AL26" s="864"/>
      <c r="AM26" s="864"/>
      <c r="AN26" s="864"/>
      <c r="AQ26" s="880"/>
      <c r="BC26" s="1" t="s">
        <v>991</v>
      </c>
      <c r="BD26" s="1" t="s">
        <v>1254</v>
      </c>
      <c r="BL26" s="1" t="s">
        <v>1425</v>
      </c>
      <c r="BM26" s="1" t="s">
        <v>1425</v>
      </c>
      <c r="BR26" s="1" t="s">
        <v>312</v>
      </c>
      <c r="BS26" s="1" t="s">
        <v>250</v>
      </c>
      <c r="BZ26" t="s">
        <v>1522</v>
      </c>
      <c r="CA26" t="s">
        <v>1441</v>
      </c>
      <c r="CJ26" t="s">
        <v>1456</v>
      </c>
      <c r="CK26" t="s">
        <v>3221</v>
      </c>
    </row>
    <row r="27" spans="18:89" ht="16.350000000000001" customHeight="1" thickBot="1">
      <c r="R27" s="878">
        <f>Ram_1!AR23</f>
        <v>0</v>
      </c>
      <c r="V27" s="865" t="str">
        <f>'Translate&amp;Prices&amp;Logo'!$O$173</f>
        <v>Rodzaj szkła</v>
      </c>
      <c r="W27" s="865"/>
      <c r="X27" s="865"/>
      <c r="Y27" s="865"/>
      <c r="Z27" s="865"/>
      <c r="AA27" s="113"/>
      <c r="AB27" s="864">
        <f>IFERROR(VLOOKUP(Ram_1!$H$25,kombinace_1!DT:DU,2,0),Ram_1!$H$25)</f>
        <v>0</v>
      </c>
      <c r="AC27" s="864"/>
      <c r="AD27" s="864"/>
      <c r="AE27" s="864"/>
      <c r="AF27" s="864"/>
      <c r="AG27" s="864"/>
      <c r="AH27" s="864"/>
      <c r="AI27" s="864"/>
      <c r="AJ27" s="864"/>
      <c r="AK27" s="864"/>
      <c r="AL27" s="864"/>
      <c r="AM27" s="864"/>
      <c r="AN27" s="864"/>
      <c r="AQ27" s="880"/>
      <c r="BL27" s="1" t="s">
        <v>315</v>
      </c>
      <c r="BM27" s="1" t="s">
        <v>253</v>
      </c>
      <c r="BR27" s="1" t="s">
        <v>313</v>
      </c>
      <c r="BS27" s="1" t="s">
        <v>251</v>
      </c>
      <c r="CJ27" t="s">
        <v>1459</v>
      </c>
      <c r="CK27" t="s">
        <v>3222</v>
      </c>
    </row>
    <row r="28" spans="18:89" ht="16.350000000000001" customHeight="1">
      <c r="V28" s="865" t="str">
        <f>'Translate&amp;Prices&amp;Logo'!$O$549</f>
        <v>Rozstaw uchwytu (mm)</v>
      </c>
      <c r="W28" s="865"/>
      <c r="X28" s="865"/>
      <c r="Y28" s="865"/>
      <c r="Z28" s="865"/>
      <c r="AA28" s="113"/>
      <c r="AB28" s="864">
        <f>Ram_1!$H$26</f>
        <v>0</v>
      </c>
      <c r="AC28" s="864"/>
      <c r="AD28" s="864"/>
      <c r="AE28" s="864"/>
      <c r="AF28" s="864"/>
      <c r="AG28" s="864"/>
      <c r="AH28" s="864"/>
      <c r="AI28" s="864"/>
      <c r="AJ28" s="864"/>
      <c r="AK28" s="864"/>
      <c r="AL28" s="864"/>
      <c r="AM28" s="864"/>
      <c r="AN28" s="864"/>
      <c r="AQ28" s="880"/>
      <c r="BL28" s="1" t="s">
        <v>316</v>
      </c>
      <c r="BM28" s="1" t="s">
        <v>254</v>
      </c>
      <c r="BR28" s="1" t="s">
        <v>1475</v>
      </c>
      <c r="BS28" s="1" t="s">
        <v>1239</v>
      </c>
      <c r="CJ28" t="s">
        <v>1179</v>
      </c>
      <c r="CK28" t="s">
        <v>3120</v>
      </c>
    </row>
    <row r="29" spans="18:89" ht="16.350000000000001" customHeight="1">
      <c r="V29" s="865" t="str">
        <f>'Translate&amp;Prices&amp;Logo'!$O$550</f>
        <v>Umieszczenie uchwytu</v>
      </c>
      <c r="W29" s="865"/>
      <c r="X29" s="865"/>
      <c r="Y29" s="865"/>
      <c r="Z29" s="865"/>
      <c r="AA29" s="113"/>
      <c r="AB29" s="864">
        <f>IFERROR(VLOOKUP(Ram_1!$H$27,BR12:BS31,2,0),0)</f>
        <v>0</v>
      </c>
      <c r="AC29" s="864"/>
      <c r="AD29" s="864"/>
      <c r="AE29" s="864"/>
      <c r="AF29" s="864"/>
      <c r="AG29" s="864"/>
      <c r="AH29" s="864"/>
      <c r="AI29" s="864"/>
      <c r="AJ29" s="864"/>
      <c r="AK29" s="864"/>
      <c r="AL29" s="864"/>
      <c r="AM29" s="864"/>
      <c r="AN29" s="864"/>
      <c r="AQ29" s="880"/>
      <c r="BL29" s="1" t="s">
        <v>317</v>
      </c>
      <c r="BM29" s="1" t="s">
        <v>255</v>
      </c>
      <c r="BR29" s="1" t="s">
        <v>1002</v>
      </c>
      <c r="BS29" s="1" t="s">
        <v>1424</v>
      </c>
      <c r="CJ29" t="s">
        <v>1185</v>
      </c>
      <c r="CK29" t="s">
        <v>3121</v>
      </c>
    </row>
    <row r="30" spans="18:89" ht="16.350000000000001" customHeight="1">
      <c r="V30" s="865" t="str">
        <f>('Translate&amp;Prices&amp;Logo'!$O$174)&amp;" "&amp;"-"&amp;" "&amp;('Translate&amp;Prices&amp;Logo'!$O$169)&amp;" "&amp;" "&amp;1</f>
        <v>Ilość sztuk - Ramka  1</v>
      </c>
      <c r="W30" s="865"/>
      <c r="X30" s="865"/>
      <c r="Y30" s="865"/>
      <c r="Z30" s="865"/>
      <c r="AA30" s="113"/>
      <c r="AB30" s="864">
        <f>Ram_1!$H$28</f>
        <v>0</v>
      </c>
      <c r="AC30" s="864"/>
      <c r="AD30" s="864"/>
      <c r="AE30" s="864"/>
      <c r="AF30" s="864"/>
      <c r="AG30" s="864"/>
      <c r="AH30" s="864"/>
      <c r="AI30" s="864"/>
      <c r="AJ30" s="864"/>
      <c r="AK30" s="864"/>
      <c r="AL30" s="864"/>
      <c r="AM30" s="864"/>
      <c r="AN30" s="864"/>
      <c r="AQ30" s="880"/>
      <c r="BL30" s="1" t="s">
        <v>318</v>
      </c>
      <c r="BM30" s="1" t="s">
        <v>256</v>
      </c>
      <c r="BR30" s="1" t="s">
        <v>993</v>
      </c>
      <c r="BS30" s="1" t="s">
        <v>250</v>
      </c>
      <c r="CJ30" s="305" t="s">
        <v>2710</v>
      </c>
      <c r="CK30" t="s">
        <v>2710</v>
      </c>
    </row>
    <row r="31" spans="18:89" ht="16.350000000000001" customHeight="1">
      <c r="AD31" s="1"/>
      <c r="AE31" s="1"/>
      <c r="AQ31" s="880"/>
      <c r="BL31" s="1" t="s">
        <v>1373</v>
      </c>
      <c r="BM31" s="1" t="s">
        <v>1425</v>
      </c>
      <c r="BR31" s="1" t="s">
        <v>994</v>
      </c>
      <c r="BS31" s="1" t="s">
        <v>251</v>
      </c>
      <c r="CJ31" s="305" t="s">
        <v>2711</v>
      </c>
      <c r="CK31" t="s">
        <v>2711</v>
      </c>
    </row>
    <row r="32" spans="18:89" ht="14.85" customHeight="1">
      <c r="AQ32" s="880"/>
      <c r="BL32" s="1" t="s">
        <v>1476</v>
      </c>
      <c r="BM32" s="1" t="s">
        <v>253</v>
      </c>
      <c r="BR32" s="191" t="s">
        <v>2424</v>
      </c>
      <c r="BS32" s="191" t="s">
        <v>2432</v>
      </c>
      <c r="CJ32" s="305" t="s">
        <v>3122</v>
      </c>
      <c r="CK32" t="s">
        <v>3424</v>
      </c>
    </row>
    <row r="33" spans="1:89" ht="14.85" customHeight="1">
      <c r="V33" s="870" t="s">
        <v>1725</v>
      </c>
      <c r="W33" s="870"/>
      <c r="X33" s="870"/>
      <c r="Y33" s="870"/>
      <c r="AD33" s="870" t="s">
        <v>1726</v>
      </c>
      <c r="AE33" s="870"/>
      <c r="AF33" s="870"/>
      <c r="AG33" s="870"/>
      <c r="AQ33" s="880"/>
      <c r="BL33" s="1" t="s">
        <v>1477</v>
      </c>
      <c r="BM33" s="1" t="s">
        <v>254</v>
      </c>
      <c r="BR33" s="191" t="s">
        <v>2425</v>
      </c>
      <c r="BS33" s="191" t="s">
        <v>2433</v>
      </c>
      <c r="CJ33" s="305" t="s">
        <v>3123</v>
      </c>
      <c r="CK33" t="s">
        <v>3219</v>
      </c>
    </row>
    <row r="34" spans="1:89" ht="14.85" customHeight="1">
      <c r="AD34" s="882"/>
      <c r="AE34" s="883"/>
      <c r="AF34" s="883"/>
      <c r="AG34" s="883"/>
      <c r="AH34" s="883"/>
      <c r="AI34" s="883"/>
      <c r="AJ34" s="883"/>
      <c r="AK34" s="883"/>
      <c r="AL34" s="883"/>
      <c r="AM34" s="884"/>
      <c r="AQ34" s="880"/>
      <c r="BL34" s="1" t="s">
        <v>1601</v>
      </c>
      <c r="BM34" s="1" t="s">
        <v>255</v>
      </c>
      <c r="BR34" s="191" t="s">
        <v>2426</v>
      </c>
      <c r="BS34" s="191" t="s">
        <v>2434</v>
      </c>
      <c r="CJ34" s="305" t="s">
        <v>2649</v>
      </c>
      <c r="CK34" t="s">
        <v>2649</v>
      </c>
    </row>
    <row r="35" spans="1:89" ht="14.85" customHeight="1">
      <c r="AD35" s="885"/>
      <c r="AE35" s="886"/>
      <c r="AF35" s="886"/>
      <c r="AG35" s="886"/>
      <c r="AH35" s="886"/>
      <c r="AI35" s="886"/>
      <c r="AJ35" s="886"/>
      <c r="AK35" s="886"/>
      <c r="AL35" s="886"/>
      <c r="AM35" s="887"/>
      <c r="AQ35" s="880"/>
      <c r="BL35" s="1" t="s">
        <v>1602</v>
      </c>
      <c r="BM35" s="1" t="s">
        <v>256</v>
      </c>
      <c r="BR35" s="191" t="s">
        <v>2427</v>
      </c>
      <c r="BS35" s="191" t="s">
        <v>2435</v>
      </c>
      <c r="CJ35" s="305" t="s">
        <v>2650</v>
      </c>
      <c r="CK35" t="s">
        <v>2650</v>
      </c>
    </row>
    <row r="36" spans="1:89" ht="14.85" customHeight="1">
      <c r="AD36" s="885"/>
      <c r="AE36" s="886"/>
      <c r="AF36" s="886"/>
      <c r="AG36" s="886"/>
      <c r="AH36" s="886"/>
      <c r="AI36" s="886"/>
      <c r="AJ36" s="886"/>
      <c r="AK36" s="886"/>
      <c r="AL36" s="886"/>
      <c r="AM36" s="887"/>
      <c r="AQ36" s="880"/>
      <c r="BL36" s="1" t="s">
        <v>1051</v>
      </c>
      <c r="BM36" s="1" t="s">
        <v>1425</v>
      </c>
      <c r="BR36" s="233" t="s">
        <v>105</v>
      </c>
      <c r="BS36" s="191" t="s">
        <v>252</v>
      </c>
      <c r="CJ36" s="305" t="s">
        <v>1172</v>
      </c>
      <c r="CK36" t="s">
        <v>2676</v>
      </c>
    </row>
    <row r="37" spans="1:89" ht="14.85" customHeight="1">
      <c r="C37" s="894">
        <f>IF(OR(Ram_1!$AC$25="x",Ram_1!$AJ$26="x",Ram_1!$AC$9="x",Ram_1!$AJ$7="x",Ram_1!$AB$16="x",Ram_1!$AM$23="x",Ram_1!$AN$19="x",Ram_1!$AD$10="x"),'Translate&amp;Prices&amp;Logo'!$B$588,0)</f>
        <v>0</v>
      </c>
      <c r="D37" s="894"/>
      <c r="E37" s="894"/>
      <c r="F37" s="894"/>
      <c r="G37" s="894"/>
      <c r="H37" s="894"/>
      <c r="I37" s="894"/>
      <c r="J37" s="894"/>
      <c r="K37" s="894"/>
      <c r="L37" s="894"/>
      <c r="M37" s="894"/>
      <c r="N37" s="894"/>
      <c r="O37" s="894"/>
      <c r="AD37" s="885"/>
      <c r="AE37" s="886"/>
      <c r="AF37" s="886"/>
      <c r="AG37" s="886"/>
      <c r="AH37" s="886"/>
      <c r="AI37" s="886"/>
      <c r="AJ37" s="886"/>
      <c r="AK37" s="886"/>
      <c r="AL37" s="886"/>
      <c r="AM37" s="887"/>
      <c r="AQ37" s="880"/>
      <c r="BR37" s="191" t="s">
        <v>191</v>
      </c>
      <c r="BS37" s="191" t="s">
        <v>252</v>
      </c>
      <c r="CJ37" s="305" t="s">
        <v>1180</v>
      </c>
      <c r="CK37" t="s">
        <v>2679</v>
      </c>
    </row>
    <row r="38" spans="1:89" ht="14.85" customHeight="1">
      <c r="AD38" s="885"/>
      <c r="AE38" s="886"/>
      <c r="AF38" s="886"/>
      <c r="AG38" s="886"/>
      <c r="AH38" s="886"/>
      <c r="AI38" s="886"/>
      <c r="AJ38" s="886"/>
      <c r="AK38" s="886"/>
      <c r="AL38" s="886"/>
      <c r="AM38" s="887"/>
      <c r="AQ38" s="880"/>
      <c r="BR38" s="191" t="s">
        <v>314</v>
      </c>
      <c r="BS38" s="191" t="s">
        <v>252</v>
      </c>
      <c r="CJ38" s="305" t="s">
        <v>1186</v>
      </c>
      <c r="CK38" t="s">
        <v>1186</v>
      </c>
    </row>
    <row r="39" spans="1:89" ht="14.85" customHeight="1" thickBot="1">
      <c r="AD39" s="885"/>
      <c r="AE39" s="886"/>
      <c r="AF39" s="886"/>
      <c r="AG39" s="886"/>
      <c r="AH39" s="886"/>
      <c r="AI39" s="886"/>
      <c r="AJ39" s="886"/>
      <c r="AK39" s="886"/>
      <c r="AL39" s="886"/>
      <c r="AM39" s="887"/>
      <c r="AQ39" s="880"/>
      <c r="BR39" s="191" t="s">
        <v>995</v>
      </c>
      <c r="BS39" s="191" t="s">
        <v>252</v>
      </c>
      <c r="CJ39" s="305" t="s">
        <v>3124</v>
      </c>
      <c r="CK39" t="s">
        <v>3217</v>
      </c>
    </row>
    <row r="40" spans="1:89" ht="14.85" customHeight="1" thickBot="1">
      <c r="F40" s="871" t="str">
        <f>'Translate&amp;Prices&amp;Logo'!$O$175</f>
        <v>Szerokość</v>
      </c>
      <c r="G40" s="872">
        <f>Ram_1!AG30</f>
        <v>0</v>
      </c>
      <c r="H40" s="872">
        <f>Ram_1!AH30</f>
        <v>0</v>
      </c>
      <c r="I40" s="873">
        <f>Ram_1!AI30</f>
        <v>0</v>
      </c>
      <c r="J40" s="873">
        <f>Ram_1!AJ30</f>
        <v>0</v>
      </c>
      <c r="K40" s="874">
        <f>Ram_1!AK30</f>
        <v>0</v>
      </c>
      <c r="AD40" s="885"/>
      <c r="AE40" s="886"/>
      <c r="AF40" s="886"/>
      <c r="AG40" s="886"/>
      <c r="AH40" s="886"/>
      <c r="AI40" s="886"/>
      <c r="AJ40" s="886"/>
      <c r="AK40" s="886"/>
      <c r="AL40" s="886"/>
      <c r="AM40" s="887"/>
      <c r="AQ40" s="880"/>
      <c r="CJ40" s="305" t="s">
        <v>3125</v>
      </c>
      <c r="CK40" t="s">
        <v>3218</v>
      </c>
    </row>
    <row r="41" spans="1:89" ht="21" customHeight="1">
      <c r="AD41" s="888"/>
      <c r="AE41" s="889"/>
      <c r="AF41" s="889"/>
      <c r="AG41" s="889"/>
      <c r="AH41" s="889"/>
      <c r="AI41" s="889"/>
      <c r="AJ41" s="889"/>
      <c r="AK41" s="889"/>
      <c r="AL41" s="889"/>
      <c r="AM41" s="890"/>
      <c r="AQ41" s="880"/>
      <c r="CJ41" s="305" t="s">
        <v>1173</v>
      </c>
      <c r="CK41" t="s">
        <v>3116</v>
      </c>
    </row>
    <row r="42" spans="1:89" ht="14.85" customHeight="1">
      <c r="AQ42" s="880"/>
      <c r="CJ42" s="305" t="s">
        <v>1181</v>
      </c>
      <c r="CK42" t="s">
        <v>3117</v>
      </c>
    </row>
    <row r="43" spans="1:89" ht="14.85" customHeight="1">
      <c r="AQ43" s="880"/>
      <c r="CJ43" s="305" t="s">
        <v>1174</v>
      </c>
      <c r="CK43" t="s">
        <v>2677</v>
      </c>
    </row>
    <row r="44" spans="1:89"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181"/>
      <c r="AE44" s="182"/>
      <c r="AF44" s="30"/>
      <c r="AG44" s="30"/>
      <c r="AH44" s="30"/>
      <c r="AI44" s="30"/>
      <c r="AJ44" s="30"/>
      <c r="AK44" s="30"/>
      <c r="AL44" s="30"/>
      <c r="AM44" s="30"/>
      <c r="AN44" s="30"/>
      <c r="AO44" s="30"/>
      <c r="AP44" s="30"/>
      <c r="AQ44" s="30"/>
      <c r="CJ44" s="305" t="s">
        <v>1153</v>
      </c>
      <c r="CK44" t="s">
        <v>1153</v>
      </c>
    </row>
    <row r="45" spans="1:89" ht="35.1" customHeight="1" thickBot="1">
      <c r="I45" s="178"/>
      <c r="J45" s="178"/>
      <c r="K45" s="178"/>
      <c r="L45" s="178"/>
      <c r="M45" s="178"/>
      <c r="N45" s="178"/>
      <c r="O45" s="178"/>
      <c r="P45" s="178"/>
      <c r="Q45" s="178"/>
      <c r="R45" s="178"/>
      <c r="S45" s="178"/>
      <c r="T45" s="178"/>
      <c r="U45" s="178"/>
      <c r="V45" s="869" t="str">
        <f>'Translate&amp;Prices&amp;Logo'!$O$256</f>
        <v>Numer zamówienia</v>
      </c>
      <c r="W45" s="869"/>
      <c r="X45" s="869"/>
      <c r="Y45" s="869"/>
      <c r="Z45" s="869"/>
      <c r="AA45" s="113"/>
      <c r="AB45" s="866"/>
      <c r="AC45" s="867"/>
      <c r="AD45" s="867"/>
      <c r="AE45" s="867"/>
      <c r="AF45" s="867"/>
      <c r="AG45" s="867"/>
      <c r="AH45" s="867"/>
      <c r="AI45" s="867"/>
      <c r="AJ45" s="867"/>
      <c r="AK45" s="867"/>
      <c r="AL45" s="867"/>
      <c r="AM45" s="867"/>
      <c r="AN45" s="868"/>
      <c r="AQ45" s="880" t="s">
        <v>1728</v>
      </c>
      <c r="CJ45" s="305" t="s">
        <v>1163</v>
      </c>
      <c r="CK45" t="s">
        <v>1163</v>
      </c>
    </row>
    <row r="46" spans="1:89" ht="16.350000000000001" customHeight="1">
      <c r="V46" s="865" t="str">
        <f>'Translate&amp;Prices&amp;Logo'!$O$542</f>
        <v>Połączenie 2 profili</v>
      </c>
      <c r="W46" s="865"/>
      <c r="X46" s="865"/>
      <c r="Y46" s="865"/>
      <c r="Z46" s="865"/>
      <c r="AA46" s="113"/>
      <c r="AB46" s="879" t="str">
        <f>IF(kombinace_2!$H$1=TRUE,"Tak","Nie")</f>
        <v>Nie</v>
      </c>
      <c r="AC46" s="879"/>
      <c r="AD46" s="879"/>
      <c r="AE46" s="879"/>
      <c r="AF46" s="879"/>
      <c r="AG46" s="879"/>
      <c r="AH46" s="879"/>
      <c r="AI46" s="879"/>
      <c r="AJ46" s="879"/>
      <c r="AK46" s="879"/>
      <c r="AL46" s="879"/>
      <c r="AM46" s="879"/>
      <c r="AN46" s="879"/>
      <c r="AQ46" s="880"/>
      <c r="CJ46" s="305" t="s">
        <v>1182</v>
      </c>
      <c r="CK46" t="s">
        <v>2680</v>
      </c>
    </row>
    <row r="47" spans="1:89" ht="16.350000000000001" customHeight="1">
      <c r="V47" s="865" t="str">
        <f>'Translate&amp;Prices&amp;Logo'!$O$172</f>
        <v>Rodzaj profilu</v>
      </c>
      <c r="W47" s="865"/>
      <c r="X47" s="865"/>
      <c r="Y47" s="865"/>
      <c r="Z47" s="865"/>
      <c r="AA47" s="113"/>
      <c r="AB47" s="864">
        <f>IFERROR(VLOOKUP(Ram_2!$H$8,'Translate&amp;Prices&amp;Logo'!AA:AB,2,0),Ram_2!$H$8)</f>
        <v>0</v>
      </c>
      <c r="AC47" s="864"/>
      <c r="AD47" s="864"/>
      <c r="AE47" s="864"/>
      <c r="AF47" s="864"/>
      <c r="AG47" s="864"/>
      <c r="AH47" s="864"/>
      <c r="AI47" s="864"/>
      <c r="AJ47" s="864"/>
      <c r="AK47" s="864"/>
      <c r="AL47" s="864"/>
      <c r="AM47" s="864"/>
      <c r="AN47" s="864"/>
      <c r="AQ47" s="880"/>
      <c r="CJ47" s="305" t="s">
        <v>1177</v>
      </c>
      <c r="CK47" t="s">
        <v>2678</v>
      </c>
    </row>
    <row r="48" spans="1:89" ht="16.350000000000001" customHeight="1">
      <c r="V48" s="865" t="str">
        <f>'Translate&amp;Prices&amp;Logo'!$O$543</f>
        <v>Szprosy</v>
      </c>
      <c r="W48" s="865"/>
      <c r="X48" s="865"/>
      <c r="Y48" s="865"/>
      <c r="Z48" s="865"/>
      <c r="AA48" s="113"/>
      <c r="AB48" s="864" t="str">
        <f>IFERROR(VLOOKUP(Ram_2!$AU$10,AT48:AU51,2,0),0)</f>
        <v>Nie</v>
      </c>
      <c r="AC48" s="864"/>
      <c r="AD48" s="864"/>
      <c r="AE48" s="864"/>
      <c r="AF48" s="864"/>
      <c r="AG48" s="864"/>
      <c r="AH48" s="864"/>
      <c r="AI48" s="864"/>
      <c r="AJ48" s="864"/>
      <c r="AK48" s="864"/>
      <c r="AL48" s="864"/>
      <c r="AM48" s="864"/>
      <c r="AN48" s="864"/>
      <c r="AQ48" s="880"/>
      <c r="AT48">
        <v>0</v>
      </c>
      <c r="AU48" t="str">
        <f>'Translate&amp;Prices&amp;Logo'!$O$557</f>
        <v>Nie</v>
      </c>
      <c r="AY48">
        <v>2</v>
      </c>
      <c r="AZ48" t="str">
        <f>'Translate&amp;Prices&amp;Logo'!$O$551</f>
        <v>Zawiasy</v>
      </c>
      <c r="BC48" s="1" t="s">
        <v>69</v>
      </c>
      <c r="BD48" s="1" t="s">
        <v>222</v>
      </c>
      <c r="BH48" s="1" t="s">
        <v>52</v>
      </c>
      <c r="BI48" s="1" t="s">
        <v>216</v>
      </c>
      <c r="BL48" s="1" t="s">
        <v>107</v>
      </c>
      <c r="BM48" s="1" t="s">
        <v>253</v>
      </c>
      <c r="BR48" s="1" t="s">
        <v>113</v>
      </c>
      <c r="BS48" s="1" t="s">
        <v>1239</v>
      </c>
      <c r="BW48" s="1">
        <v>1</v>
      </c>
      <c r="BX48" s="1" t="str">
        <f>'Translate&amp;Prices&amp;Logo'!$O$100</f>
        <v>Bez modyfikacji</v>
      </c>
      <c r="BZ48" t="s">
        <v>1039</v>
      </c>
      <c r="CA48" t="s">
        <v>1439</v>
      </c>
      <c r="CJ48" s="305" t="s">
        <v>1156</v>
      </c>
      <c r="CK48" t="s">
        <v>1156</v>
      </c>
    </row>
    <row r="49" spans="18:89" ht="16.350000000000001" customHeight="1">
      <c r="V49" s="183"/>
      <c r="W49" s="183"/>
      <c r="X49" s="183"/>
      <c r="Y49" s="183"/>
      <c r="Z49" s="183"/>
      <c r="AA49" s="184"/>
      <c r="AB49" s="881" t="str">
        <f>'Translate&amp;Prices&amp;Logo'!$O$558</f>
        <v>Poziomo (termin dostawy 4 tygodnie)</v>
      </c>
      <c r="AC49" s="881"/>
      <c r="AD49" s="881"/>
      <c r="AE49" s="881"/>
      <c r="AF49" s="881"/>
      <c r="AG49" s="881"/>
      <c r="AH49" s="881"/>
      <c r="AI49" s="881" t="str">
        <f>'Translate&amp;Prices&amp;Logo'!$O$559</f>
        <v>Pionowo (termin dostawy 4 tygodnie)</v>
      </c>
      <c r="AJ49" s="881"/>
      <c r="AK49" s="881"/>
      <c r="AL49" s="881"/>
      <c r="AM49" s="881"/>
      <c r="AN49" s="881"/>
      <c r="AQ49" s="880"/>
      <c r="AT49">
        <v>1</v>
      </c>
      <c r="AU49" t="str">
        <f>'Translate&amp;Prices&amp;Logo'!$O$558</f>
        <v>Poziomo (termin dostawy 4 tygodnie)</v>
      </c>
      <c r="AY49">
        <v>3</v>
      </c>
      <c r="AZ49" t="str">
        <f>'Translate&amp;Prices&amp;Logo'!$O$552</f>
        <v>Podnośniki</v>
      </c>
      <c r="BC49" s="1" t="s">
        <v>70</v>
      </c>
      <c r="BD49" s="1" t="s">
        <v>223</v>
      </c>
      <c r="BH49" s="1" t="s">
        <v>51</v>
      </c>
      <c r="BI49" s="1" t="s">
        <v>217</v>
      </c>
      <c r="BL49" s="1" t="s">
        <v>108</v>
      </c>
      <c r="BM49" s="1" t="s">
        <v>254</v>
      </c>
      <c r="BR49" s="1" t="s">
        <v>114</v>
      </c>
      <c r="BS49" s="1" t="s">
        <v>1424</v>
      </c>
      <c r="BW49" s="1">
        <v>2</v>
      </c>
      <c r="BX49" s="1" t="str">
        <f>'Translate&amp;Prices&amp;Logo'!$O$101</f>
        <v>Hartowane</v>
      </c>
      <c r="BZ49" t="s">
        <v>1042</v>
      </c>
      <c r="CA49" t="s">
        <v>1440</v>
      </c>
      <c r="CJ49" s="305" t="s">
        <v>1183</v>
      </c>
      <c r="CK49" t="s">
        <v>3118</v>
      </c>
    </row>
    <row r="50" spans="18:89" ht="16.350000000000001" customHeight="1">
      <c r="V50" s="865" t="str">
        <f>('Translate&amp;Prices&amp;Logo'!$O$543)&amp;" "&amp;"("&amp;'Translate&amp;Prices&amp;Logo'!$O$174&amp;")"</f>
        <v>Szprosy (Ilość sztuk)</v>
      </c>
      <c r="W50" s="865"/>
      <c r="X50" s="865"/>
      <c r="Y50" s="865"/>
      <c r="Z50" s="865"/>
      <c r="AA50" s="113"/>
      <c r="AB50" s="864">
        <f>Ram_2!$H$11</f>
        <v>0</v>
      </c>
      <c r="AC50" s="864"/>
      <c r="AD50" s="864"/>
      <c r="AE50" s="864"/>
      <c r="AF50" s="864"/>
      <c r="AG50" s="864"/>
      <c r="AH50" s="864"/>
      <c r="AI50" s="864">
        <f>Ram_2!$M$11</f>
        <v>0</v>
      </c>
      <c r="AJ50" s="864"/>
      <c r="AK50" s="864"/>
      <c r="AL50" s="864"/>
      <c r="AM50" s="864"/>
      <c r="AN50" s="864"/>
      <c r="AQ50" s="880"/>
      <c r="AT50">
        <v>2</v>
      </c>
      <c r="AU50" t="str">
        <f>'Translate&amp;Prices&amp;Logo'!$O$559</f>
        <v>Pionowo (termin dostawy 4 tygodnie)</v>
      </c>
      <c r="BC50" s="1" t="s">
        <v>71</v>
      </c>
      <c r="BD50" s="1" t="s">
        <v>1254</v>
      </c>
      <c r="BH50" s="1" t="s">
        <v>160</v>
      </c>
      <c r="BI50" s="1" t="s">
        <v>216</v>
      </c>
      <c r="BL50" s="1" t="s">
        <v>110</v>
      </c>
      <c r="BM50" s="1" t="s">
        <v>255</v>
      </c>
      <c r="BR50" s="1" t="s">
        <v>104</v>
      </c>
      <c r="BS50" s="1" t="s">
        <v>250</v>
      </c>
      <c r="BW50" s="1">
        <v>3</v>
      </c>
      <c r="BX50" s="1" t="str">
        <f>'Translate&amp;Prices&amp;Logo'!$O$102</f>
        <v>Folia</v>
      </c>
      <c r="BZ50" t="s">
        <v>1045</v>
      </c>
      <c r="CA50" t="s">
        <v>1441</v>
      </c>
      <c r="CJ50" s="305" t="s">
        <v>1184</v>
      </c>
      <c r="CK50" t="s">
        <v>2681</v>
      </c>
    </row>
    <row r="51" spans="18:89" ht="16.350000000000001" customHeight="1">
      <c r="V51" s="865" t="str">
        <f>'Translate&amp;Prices&amp;Logo'!$O$258</f>
        <v>Typ okucia</v>
      </c>
      <c r="W51" s="865"/>
      <c r="X51" s="865"/>
      <c r="Y51" s="865"/>
      <c r="Z51" s="865"/>
      <c r="AA51" s="113"/>
      <c r="AB51" s="864">
        <f>IFERROR(VLOOKUP(Ram_2!$AU$9,AY48:AZ49,2,0),0)</f>
        <v>0</v>
      </c>
      <c r="AC51" s="864"/>
      <c r="AD51" s="864"/>
      <c r="AE51" s="864"/>
      <c r="AF51" s="864"/>
      <c r="AG51" s="864"/>
      <c r="AH51" s="864"/>
      <c r="AI51" s="864"/>
      <c r="AJ51" s="864"/>
      <c r="AK51" s="864"/>
      <c r="AL51" s="864"/>
      <c r="AM51" s="864"/>
      <c r="AN51" s="864"/>
      <c r="AQ51" s="880"/>
      <c r="AT51">
        <v>3</v>
      </c>
      <c r="AU51" t="str">
        <f>'Translate&amp;Prices&amp;Logo'!$O$560</f>
        <v>Poziomo i pionowo (termin dostawy 4 tygodnie)</v>
      </c>
      <c r="BC51" s="1" t="s">
        <v>69</v>
      </c>
      <c r="BD51" s="1" t="s">
        <v>222</v>
      </c>
      <c r="BH51" s="1" t="s">
        <v>161</v>
      </c>
      <c r="BI51" s="1" t="s">
        <v>217</v>
      </c>
      <c r="BL51" s="1" t="s">
        <v>109</v>
      </c>
      <c r="BM51" s="1" t="s">
        <v>256</v>
      </c>
      <c r="BR51" s="1" t="s">
        <v>103</v>
      </c>
      <c r="BS51" s="1" t="s">
        <v>251</v>
      </c>
      <c r="BZ51" t="s">
        <v>1328</v>
      </c>
      <c r="CA51" t="s">
        <v>1439</v>
      </c>
      <c r="CJ51" s="305" t="s">
        <v>3126</v>
      </c>
      <c r="CK51" t="s">
        <v>3220</v>
      </c>
    </row>
    <row r="52" spans="18:89" ht="16.350000000000001" customHeight="1">
      <c r="V52" s="865" t="str">
        <f>'Translate&amp;Prices&amp;Logo'!$O$544</f>
        <v>Marka okucia</v>
      </c>
      <c r="W52" s="865"/>
      <c r="X52" s="865"/>
      <c r="Y52" s="865"/>
      <c r="Z52" s="865"/>
      <c r="AA52" s="113"/>
      <c r="AB52" s="864">
        <f>Ram_2!$H$13</f>
        <v>0</v>
      </c>
      <c r="AC52" s="864"/>
      <c r="AD52" s="864"/>
      <c r="AE52" s="864"/>
      <c r="AF52" s="864"/>
      <c r="AG52" s="864"/>
      <c r="AH52" s="864"/>
      <c r="AI52" s="864"/>
      <c r="AJ52" s="864"/>
      <c r="AK52" s="864"/>
      <c r="AL52" s="864"/>
      <c r="AM52" s="864"/>
      <c r="AN52" s="864"/>
      <c r="AQ52" s="880"/>
      <c r="BC52" s="1" t="s">
        <v>70</v>
      </c>
      <c r="BD52" s="1" t="s">
        <v>223</v>
      </c>
      <c r="BH52" s="1" t="s">
        <v>410</v>
      </c>
      <c r="BI52" s="1" t="s">
        <v>216</v>
      </c>
      <c r="BL52" s="1" t="s">
        <v>111</v>
      </c>
      <c r="BM52" s="1" t="s">
        <v>1425</v>
      </c>
      <c r="BR52" s="1" t="s">
        <v>1241</v>
      </c>
      <c r="BS52" s="1" t="s">
        <v>1239</v>
      </c>
      <c r="BZ52" t="s">
        <v>1329</v>
      </c>
      <c r="CA52" t="s">
        <v>1440</v>
      </c>
      <c r="CJ52" s="305" t="s">
        <v>1165</v>
      </c>
      <c r="CK52" t="s">
        <v>1165</v>
      </c>
    </row>
    <row r="53" spans="18:89" ht="16.350000000000001" customHeight="1" thickBot="1">
      <c r="V53" s="865" t="str">
        <f>'Translate&amp;Prices&amp;Logo'!$O$546</f>
        <v>Nałożenie</v>
      </c>
      <c r="W53" s="865"/>
      <c r="X53" s="865"/>
      <c r="Y53" s="865"/>
      <c r="Z53" s="865"/>
      <c r="AA53" s="113"/>
      <c r="AB53" s="864">
        <f>IFERROR(VLOOKUP(Ram_2!$H$14,BC48:BD62,2,0),0)</f>
        <v>0</v>
      </c>
      <c r="AC53" s="864"/>
      <c r="AD53" s="864"/>
      <c r="AE53" s="864"/>
      <c r="AF53" s="864"/>
      <c r="AG53" s="864"/>
      <c r="AH53" s="864"/>
      <c r="AI53" s="864"/>
      <c r="AJ53" s="864"/>
      <c r="AK53" s="864"/>
      <c r="AL53" s="864"/>
      <c r="AM53" s="864"/>
      <c r="AN53" s="864"/>
      <c r="AQ53" s="880"/>
      <c r="BC53" s="1" t="s">
        <v>71</v>
      </c>
      <c r="BD53" s="1" t="s">
        <v>1254</v>
      </c>
      <c r="BH53" s="1" t="s">
        <v>283</v>
      </c>
      <c r="BI53" s="1" t="s">
        <v>217</v>
      </c>
      <c r="BL53" s="1" t="s">
        <v>193</v>
      </c>
      <c r="BM53" s="1" t="s">
        <v>253</v>
      </c>
      <c r="BR53" s="1" t="s">
        <v>114</v>
      </c>
      <c r="BS53" s="1" t="s">
        <v>1424</v>
      </c>
      <c r="BZ53" t="s">
        <v>1330</v>
      </c>
      <c r="CA53" t="s">
        <v>1441</v>
      </c>
      <c r="CJ53" s="305" t="s">
        <v>1178</v>
      </c>
      <c r="CK53" t="s">
        <v>3119</v>
      </c>
    </row>
    <row r="54" spans="18:89" ht="16.350000000000001" customHeight="1">
      <c r="R54" s="875">
        <f>Ram_2!AR14</f>
        <v>0</v>
      </c>
      <c r="V54" s="865" t="str">
        <f>'Translate&amp;Prices&amp;Logo'!$O$545</f>
        <v>Wariant okucia</v>
      </c>
      <c r="W54" s="865"/>
      <c r="X54" s="865"/>
      <c r="Y54" s="865"/>
      <c r="Z54" s="865"/>
      <c r="AA54" s="113"/>
      <c r="AB54" s="891">
        <f>IFERROR(VLOOKUP(Ram_2!$H$15,kombinace_1!$ED:$EE,2,0),Ram_2!$H$15)</f>
        <v>0</v>
      </c>
      <c r="AC54" s="891"/>
      <c r="AD54" s="891"/>
      <c r="AE54" s="891"/>
      <c r="AF54" s="891"/>
      <c r="AG54" s="891"/>
      <c r="AH54" s="891"/>
      <c r="AI54" s="864" t="str">
        <f>IF(AB54='Translate&amp;Prices&amp;Logo'!C698,VLOOKUP(Ram_2!H17,'Translate&amp;Prices&amp;Logo'!C699:D718,2,0),"")</f>
        <v/>
      </c>
      <c r="AJ54" s="864"/>
      <c r="AK54" s="864"/>
      <c r="AL54" s="864"/>
      <c r="AM54" s="864"/>
      <c r="AN54" s="864"/>
      <c r="AQ54" s="880"/>
      <c r="BC54" s="1" t="s">
        <v>222</v>
      </c>
      <c r="BD54" s="1" t="s">
        <v>222</v>
      </c>
      <c r="BH54" s="1" t="s">
        <v>1468</v>
      </c>
      <c r="BI54" s="1" t="s">
        <v>216</v>
      </c>
      <c r="BL54" s="1" t="s">
        <v>194</v>
      </c>
      <c r="BM54" s="1" t="s">
        <v>254</v>
      </c>
      <c r="BR54" s="1" t="s">
        <v>189</v>
      </c>
      <c r="BS54" s="1" t="s">
        <v>250</v>
      </c>
      <c r="BZ54" t="s">
        <v>1439</v>
      </c>
      <c r="CA54" t="s">
        <v>1439</v>
      </c>
      <c r="CJ54" s="305" t="s">
        <v>3127</v>
      </c>
      <c r="CK54" t="s">
        <v>3221</v>
      </c>
    </row>
    <row r="55" spans="18:89" ht="16.350000000000001" customHeight="1">
      <c r="R55" s="876">
        <f>Ram_1!AR51</f>
        <v>0</v>
      </c>
      <c r="V55" s="865" t="str">
        <f>'Translate&amp;Prices&amp;Logo'!$O$218</f>
        <v>Wybierz pozycję ramki</v>
      </c>
      <c r="W55" s="865"/>
      <c r="X55" s="865"/>
      <c r="Y55" s="865"/>
      <c r="Z55" s="865"/>
      <c r="AA55" s="864">
        <f>IFERROR(VLOOKUP(Ram_2!$F$16,BH48:BI57,2,0),0)</f>
        <v>0</v>
      </c>
      <c r="AB55" s="864"/>
      <c r="AC55" s="864"/>
      <c r="AD55" s="864"/>
      <c r="AE55" s="864"/>
      <c r="AF55" s="865" t="str">
        <f>'Translate&amp;Prices&amp;Logo'!$O$232</f>
        <v>Rodzaj drugiej ramki</v>
      </c>
      <c r="AG55" s="865"/>
      <c r="AH55" s="865"/>
      <c r="AI55" s="865"/>
      <c r="AJ55" s="865"/>
      <c r="AK55" s="864">
        <f>IFERROR(VLOOKUP(Ram_2!$N$16,BL48:BM72,2,0),0)</f>
        <v>0</v>
      </c>
      <c r="AL55" s="864"/>
      <c r="AM55" s="864"/>
      <c r="AN55" s="864"/>
      <c r="AQ55" s="880"/>
      <c r="BC55" s="1" t="s">
        <v>223</v>
      </c>
      <c r="BD55" s="1" t="s">
        <v>223</v>
      </c>
      <c r="BH55" s="1" t="s">
        <v>1469</v>
      </c>
      <c r="BI55" s="1" t="s">
        <v>217</v>
      </c>
      <c r="BL55" s="1" t="s">
        <v>195</v>
      </c>
      <c r="BM55" s="1" t="s">
        <v>255</v>
      </c>
      <c r="BR55" s="1" t="s">
        <v>190</v>
      </c>
      <c r="BS55" s="1" t="s">
        <v>251</v>
      </c>
      <c r="BZ55" t="s">
        <v>1440</v>
      </c>
      <c r="CA55" t="s">
        <v>1440</v>
      </c>
      <c r="CJ55" s="305" t="s">
        <v>3128</v>
      </c>
      <c r="CK55" t="s">
        <v>3222</v>
      </c>
    </row>
    <row r="56" spans="18:89" ht="16.350000000000001" customHeight="1">
      <c r="R56" s="876">
        <f>Ram_1!AR52</f>
        <v>0</v>
      </c>
      <c r="V56" s="865" t="str">
        <f>IF(AB51='Translate&amp;Prices&amp;Logo'!O551,'Translate&amp;Prices&amp;Logo'!O238,'Translate&amp;Prices&amp;Logo'!$O$226)</f>
        <v>Umieszczenie</v>
      </c>
      <c r="W56" s="865"/>
      <c r="X56" s="865"/>
      <c r="Y56" s="865"/>
      <c r="Z56" s="865"/>
      <c r="AA56" s="113"/>
      <c r="AB56" s="304" t="str">
        <f>IFERROR((IF(Ram_2!H12='Translate&amp;Prices&amp;Logo'!B552,VLOOKUP(Ram_2!$N$16,BR48:BS67,2,0),VLOOKUP(Ram_2!$H$17,BR48:BS67,2,0))),"")</f>
        <v/>
      </c>
      <c r="AC56" s="304"/>
      <c r="AD56" s="304"/>
      <c r="AE56" s="304"/>
      <c r="AF56" s="304"/>
      <c r="AG56" s="304"/>
      <c r="AH56" s="304"/>
      <c r="AI56" s="304"/>
      <c r="AJ56" s="304"/>
      <c r="AK56" s="304"/>
      <c r="AL56" s="304"/>
      <c r="AM56" s="304"/>
      <c r="AN56" s="304"/>
      <c r="AQ56" s="880"/>
      <c r="BC56" s="1" t="s">
        <v>1254</v>
      </c>
      <c r="BD56" s="1" t="s">
        <v>1254</v>
      </c>
      <c r="BH56" s="1" t="s">
        <v>216</v>
      </c>
      <c r="BI56" s="1" t="s">
        <v>216</v>
      </c>
      <c r="BL56" s="1" t="s">
        <v>196</v>
      </c>
      <c r="BM56" s="1" t="s">
        <v>256</v>
      </c>
      <c r="BR56" s="1" t="s">
        <v>1239</v>
      </c>
      <c r="BS56" s="1" t="s">
        <v>1239</v>
      </c>
      <c r="BZ56" t="s">
        <v>1441</v>
      </c>
      <c r="CA56" t="s">
        <v>1441</v>
      </c>
      <c r="CJ56" s="305" t="s">
        <v>1179</v>
      </c>
      <c r="CK56" t="s">
        <v>3120</v>
      </c>
    </row>
    <row r="57" spans="18:89" ht="16.350000000000001" customHeight="1">
      <c r="R57" s="876">
        <f>Ram_1!AR53</f>
        <v>0</v>
      </c>
      <c r="V57" s="865" t="str">
        <f>'Translate&amp;Prices&amp;Logo'!$O$547</f>
        <v>Zawiasy do podnośników</v>
      </c>
      <c r="W57" s="865"/>
      <c r="X57" s="865"/>
      <c r="Y57" s="865"/>
      <c r="Z57" s="865"/>
      <c r="AA57" s="113"/>
      <c r="AB57" s="864" t="str">
        <f>IFERROR((VLOOKUP(Ram_2!$H$18,CJ:CK,2,0)),"")</f>
        <v/>
      </c>
      <c r="AC57" s="864"/>
      <c r="AD57" s="864"/>
      <c r="AE57" s="864"/>
      <c r="AF57" s="864"/>
      <c r="AG57" s="864"/>
      <c r="AH57" s="864"/>
      <c r="AI57" s="864"/>
      <c r="AJ57" s="864"/>
      <c r="AK57" s="864"/>
      <c r="AL57" s="864"/>
      <c r="AM57" s="864"/>
      <c r="AN57" s="864"/>
      <c r="AQ57" s="880"/>
      <c r="BC57" s="1" t="s">
        <v>286</v>
      </c>
      <c r="BD57" s="1" t="s">
        <v>222</v>
      </c>
      <c r="BH57" s="1" t="s">
        <v>217</v>
      </c>
      <c r="BI57" s="1" t="s">
        <v>217</v>
      </c>
      <c r="BL57" s="1" t="s">
        <v>197</v>
      </c>
      <c r="BM57" s="1" t="s">
        <v>1425</v>
      </c>
      <c r="BR57" s="1" t="s">
        <v>1424</v>
      </c>
      <c r="BS57" s="1" t="s">
        <v>1424</v>
      </c>
      <c r="BZ57" t="s">
        <v>1331</v>
      </c>
      <c r="CA57" t="s">
        <v>1439</v>
      </c>
      <c r="CJ57" s="305" t="s">
        <v>1185</v>
      </c>
      <c r="CK57" t="s">
        <v>3121</v>
      </c>
    </row>
    <row r="58" spans="18:89" ht="16.350000000000001" customHeight="1">
      <c r="R58" s="876">
        <f>Ram_1!AR54</f>
        <v>0</v>
      </c>
      <c r="V58" s="865" t="str">
        <f>'Translate&amp;Prices&amp;Logo'!$O$223</f>
        <v>Ilość zawiasów na 1 ramkę</v>
      </c>
      <c r="W58" s="865"/>
      <c r="X58" s="865"/>
      <c r="Y58" s="865"/>
      <c r="Z58" s="865"/>
      <c r="AA58" s="113"/>
      <c r="AB58" s="864">
        <f>Ram_2!$H$19</f>
        <v>0</v>
      </c>
      <c r="AC58" s="864"/>
      <c r="AD58" s="864"/>
      <c r="AE58" s="864"/>
      <c r="AF58" s="864"/>
      <c r="AG58" s="864"/>
      <c r="AH58" s="864"/>
      <c r="AI58" s="864"/>
      <c r="AJ58" s="864"/>
      <c r="AK58" s="864"/>
      <c r="AL58" s="864"/>
      <c r="AM58" s="864"/>
      <c r="AN58" s="864"/>
      <c r="AQ58" s="880"/>
      <c r="BC58" s="1" t="s">
        <v>287</v>
      </c>
      <c r="BD58" s="1" t="s">
        <v>223</v>
      </c>
      <c r="BL58" s="1" t="s">
        <v>253</v>
      </c>
      <c r="BM58" s="1" t="s">
        <v>253</v>
      </c>
      <c r="BR58" s="1" t="s">
        <v>250</v>
      </c>
      <c r="BS58" s="1" t="s">
        <v>250</v>
      </c>
      <c r="BZ58" t="s">
        <v>1414</v>
      </c>
      <c r="CA58" t="s">
        <v>1440</v>
      </c>
      <c r="CJ58" s="306" t="s">
        <v>2710</v>
      </c>
      <c r="CK58" t="s">
        <v>2710</v>
      </c>
    </row>
    <row r="59" spans="18:89" ht="16.350000000000001" customHeight="1">
      <c r="R59" s="877" t="str">
        <f>'Translate&amp;Prices&amp;Logo'!$O$176</f>
        <v>Wysokość</v>
      </c>
      <c r="V59" s="865" t="e">
        <f>'Translate&amp;Prices&amp;Logo'!$O$242&amp;" "&amp;VLOOKUP(Ram_2!H17,kombinace_1!$BY$32:$CC$35,5,0)</f>
        <v>#N/A</v>
      </c>
      <c r="W59" s="865"/>
      <c r="X59" s="865"/>
      <c r="Y59" s="865"/>
      <c r="Z59" s="865"/>
      <c r="AA59" s="304"/>
      <c r="AB59" s="864">
        <f>Ram_2!$F$20</f>
        <v>100</v>
      </c>
      <c r="AC59" s="864"/>
      <c r="AD59" s="864"/>
      <c r="AE59" s="864"/>
      <c r="AF59" s="865" t="e">
        <f>'Translate&amp;Prices&amp;Logo'!$O$242&amp;" "&amp;VLOOKUP(Ram_2!H17,kombinace_1!$BY$32:$CD$35,6,0)</f>
        <v>#N/A</v>
      </c>
      <c r="AG59" s="865"/>
      <c r="AH59" s="865"/>
      <c r="AI59" s="865"/>
      <c r="AJ59" s="865"/>
      <c r="AK59" s="864">
        <f>Ram_2!$N$20</f>
        <v>100</v>
      </c>
      <c r="AL59" s="864"/>
      <c r="AM59" s="864"/>
      <c r="AN59" s="864"/>
      <c r="AQ59" s="880"/>
      <c r="BC59" s="1" t="s">
        <v>288</v>
      </c>
      <c r="BD59" s="1" t="s">
        <v>1254</v>
      </c>
      <c r="BL59" s="1" t="s">
        <v>254</v>
      </c>
      <c r="BM59" s="1" t="s">
        <v>254</v>
      </c>
      <c r="BR59" s="1" t="s">
        <v>251</v>
      </c>
      <c r="BS59" s="1" t="s">
        <v>251</v>
      </c>
      <c r="BZ59" t="s">
        <v>1332</v>
      </c>
      <c r="CA59" t="s">
        <v>1441</v>
      </c>
      <c r="CJ59" s="306" t="s">
        <v>2711</v>
      </c>
      <c r="CK59" t="s">
        <v>2711</v>
      </c>
    </row>
    <row r="60" spans="18:89" ht="16.350000000000001" customHeight="1">
      <c r="R60" s="877">
        <f>Ram_1!AR56</f>
        <v>0</v>
      </c>
      <c r="V60" s="308" t="str">
        <f>'Translate&amp;Prices&amp;Logo'!$O$653</f>
        <v>Wypełnienie z siatki</v>
      </c>
      <c r="W60" s="183"/>
      <c r="X60" s="183"/>
      <c r="Y60" s="183"/>
      <c r="Z60" s="183"/>
      <c r="AA60" s="113"/>
      <c r="AB60" s="863" t="str">
        <f>IF(kombinace_2!FC2=TRUE,"Tak","Nie")</f>
        <v>Nie</v>
      </c>
      <c r="AC60" s="863"/>
      <c r="AD60" s="863"/>
      <c r="AE60" s="863"/>
      <c r="AF60" s="863"/>
      <c r="AG60" s="863"/>
      <c r="AH60" s="863"/>
      <c r="AI60" s="863"/>
      <c r="AJ60" s="863"/>
      <c r="AK60" s="863"/>
      <c r="AL60" s="863"/>
      <c r="AM60" s="863"/>
      <c r="AN60" s="863"/>
      <c r="AQ60" s="880"/>
      <c r="BC60" s="1" t="s">
        <v>1716</v>
      </c>
      <c r="BD60" s="1" t="s">
        <v>222</v>
      </c>
      <c r="BL60" s="1" t="s">
        <v>255</v>
      </c>
      <c r="BM60" s="1" t="s">
        <v>255</v>
      </c>
      <c r="BR60" s="1" t="s">
        <v>1240</v>
      </c>
      <c r="BS60" s="1" t="s">
        <v>1239</v>
      </c>
      <c r="BZ60" t="s">
        <v>1520</v>
      </c>
      <c r="CA60" t="s">
        <v>1439</v>
      </c>
      <c r="CJ60" s="306" t="s">
        <v>3129</v>
      </c>
      <c r="CK60" t="s">
        <v>3424</v>
      </c>
    </row>
    <row r="61" spans="18:89" ht="16.350000000000001" customHeight="1">
      <c r="R61" s="877">
        <f>Ram_1!AR57</f>
        <v>0</v>
      </c>
      <c r="V61" s="865" t="str">
        <f>'Translate&amp;Prices&amp;Logo'!$O$173</f>
        <v>Rodzaj szkła</v>
      </c>
      <c r="W61" s="865"/>
      <c r="X61" s="865"/>
      <c r="Y61" s="865"/>
      <c r="Z61" s="865"/>
      <c r="AA61" s="113"/>
      <c r="AB61" s="864" t="str">
        <f>IFERROR(VLOOKUP(kombinace_2!$V$1,BW48:BX50,2,0),0)</f>
        <v>Bez modyfikacji</v>
      </c>
      <c r="AC61" s="864"/>
      <c r="AD61" s="864"/>
      <c r="AE61" s="864"/>
      <c r="AF61" s="864"/>
      <c r="AG61" s="864"/>
      <c r="AH61" s="864"/>
      <c r="AI61" s="864"/>
      <c r="AJ61" s="864"/>
      <c r="AK61" s="864"/>
      <c r="AL61" s="864"/>
      <c r="AM61" s="864"/>
      <c r="AN61" s="864"/>
      <c r="AQ61" s="880"/>
      <c r="BC61" s="1" t="s">
        <v>1573</v>
      </c>
      <c r="BD61" s="1" t="s">
        <v>223</v>
      </c>
      <c r="BL61" s="1" t="s">
        <v>256</v>
      </c>
      <c r="BM61" s="1" t="s">
        <v>256</v>
      </c>
      <c r="BR61" s="1" t="s">
        <v>1242</v>
      </c>
      <c r="BS61" s="1" t="s">
        <v>1424</v>
      </c>
      <c r="BZ61" t="s">
        <v>1521</v>
      </c>
      <c r="CA61" t="s">
        <v>1440</v>
      </c>
      <c r="CJ61" s="306" t="s">
        <v>2686</v>
      </c>
      <c r="CK61" t="s">
        <v>3219</v>
      </c>
    </row>
    <row r="62" spans="18:89" ht="16.350000000000001" customHeight="1">
      <c r="R62" s="877">
        <f>Ram_1!AR58</f>
        <v>0</v>
      </c>
      <c r="V62" s="865" t="str">
        <f>'Translate&amp;Prices&amp;Logo'!$O$562</f>
        <v>Rodzaj folii</v>
      </c>
      <c r="W62" s="865"/>
      <c r="X62" s="865"/>
      <c r="Y62" s="865"/>
      <c r="Z62" s="865"/>
      <c r="AA62" s="113"/>
      <c r="AB62" s="864">
        <f>IFERROR(VLOOKUP(Ram_2!$H$24,BZ48:CA62,2,0),0)</f>
        <v>0</v>
      </c>
      <c r="AC62" s="864"/>
      <c r="AD62" s="864"/>
      <c r="AE62" s="864"/>
      <c r="AF62" s="864"/>
      <c r="AG62" s="864"/>
      <c r="AH62" s="864"/>
      <c r="AI62" s="864"/>
      <c r="AJ62" s="864"/>
      <c r="AK62" s="864"/>
      <c r="AL62" s="864"/>
      <c r="AM62" s="864"/>
      <c r="AN62" s="864"/>
      <c r="AQ62" s="880"/>
      <c r="BC62" s="1" t="s">
        <v>991</v>
      </c>
      <c r="BD62" s="1" t="s">
        <v>1254</v>
      </c>
      <c r="BL62" s="1" t="s">
        <v>1425</v>
      </c>
      <c r="BM62" s="1" t="s">
        <v>1425</v>
      </c>
      <c r="BR62" s="1" t="s">
        <v>312</v>
      </c>
      <c r="BS62" s="1" t="s">
        <v>250</v>
      </c>
      <c r="BZ62" t="s">
        <v>1522</v>
      </c>
      <c r="CA62" t="s">
        <v>1441</v>
      </c>
      <c r="CJ62" s="306" t="s">
        <v>2649</v>
      </c>
      <c r="CK62" t="s">
        <v>2649</v>
      </c>
    </row>
    <row r="63" spans="18:89" ht="16.350000000000001" customHeight="1" thickBot="1">
      <c r="R63" s="878">
        <f>Ram_1!AR59</f>
        <v>0</v>
      </c>
      <c r="V63" s="865" t="str">
        <f>'Translate&amp;Prices&amp;Logo'!$O$173</f>
        <v>Rodzaj szkła</v>
      </c>
      <c r="W63" s="865"/>
      <c r="X63" s="865"/>
      <c r="Y63" s="865"/>
      <c r="Z63" s="865"/>
      <c r="AA63" s="113"/>
      <c r="AB63" s="864">
        <f>IFERROR(VLOOKUP(Ram_2!$H$25,kombinace_1!DT:DU,2,0),Ram_2!$H$25)</f>
        <v>0</v>
      </c>
      <c r="AC63" s="864"/>
      <c r="AD63" s="864"/>
      <c r="AE63" s="864"/>
      <c r="AF63" s="864"/>
      <c r="AG63" s="864"/>
      <c r="AH63" s="864"/>
      <c r="AI63" s="864"/>
      <c r="AJ63" s="864"/>
      <c r="AK63" s="864"/>
      <c r="AL63" s="864"/>
      <c r="AM63" s="864"/>
      <c r="AN63" s="864"/>
      <c r="AQ63" s="880"/>
      <c r="BL63" s="1" t="s">
        <v>315</v>
      </c>
      <c r="BM63" s="1" t="s">
        <v>253</v>
      </c>
      <c r="BR63" s="1" t="s">
        <v>313</v>
      </c>
      <c r="BS63" s="1" t="s">
        <v>251</v>
      </c>
      <c r="CJ63" s="306" t="s">
        <v>2650</v>
      </c>
      <c r="CK63" t="s">
        <v>2650</v>
      </c>
    </row>
    <row r="64" spans="18:89" ht="16.350000000000001" customHeight="1">
      <c r="V64" s="865" t="str">
        <f>'Translate&amp;Prices&amp;Logo'!$O$549</f>
        <v>Rozstaw uchwytu (mm)</v>
      </c>
      <c r="W64" s="865"/>
      <c r="X64" s="865"/>
      <c r="Y64" s="865"/>
      <c r="Z64" s="865"/>
      <c r="AA64" s="113"/>
      <c r="AB64" s="864">
        <f>Ram_2!$H$26</f>
        <v>0</v>
      </c>
      <c r="AC64" s="864"/>
      <c r="AD64" s="864"/>
      <c r="AE64" s="864"/>
      <c r="AF64" s="864"/>
      <c r="AG64" s="864"/>
      <c r="AH64" s="864"/>
      <c r="AI64" s="864"/>
      <c r="AJ64" s="864"/>
      <c r="AK64" s="864"/>
      <c r="AL64" s="864"/>
      <c r="AM64" s="864"/>
      <c r="AN64" s="864"/>
      <c r="AQ64" s="880"/>
      <c r="BL64" s="1" t="s">
        <v>316</v>
      </c>
      <c r="BM64" s="1" t="s">
        <v>254</v>
      </c>
      <c r="BR64" s="1" t="s">
        <v>1475</v>
      </c>
      <c r="BS64" s="1" t="s">
        <v>1239</v>
      </c>
      <c r="CJ64" s="306" t="s">
        <v>1172</v>
      </c>
      <c r="CK64" t="s">
        <v>2676</v>
      </c>
    </row>
    <row r="65" spans="1:89" ht="16.350000000000001" customHeight="1">
      <c r="V65" s="865" t="str">
        <f>'Translate&amp;Prices&amp;Logo'!$O$550</f>
        <v>Umieszczenie uchwytu</v>
      </c>
      <c r="W65" s="865"/>
      <c r="X65" s="865"/>
      <c r="Y65" s="865"/>
      <c r="Z65" s="865"/>
      <c r="AA65" s="113"/>
      <c r="AB65" s="864">
        <f>IFERROR(VLOOKUP(Ram_2!$H$27,BR48:BS67,2,0),0)</f>
        <v>0</v>
      </c>
      <c r="AC65" s="864"/>
      <c r="AD65" s="864"/>
      <c r="AE65" s="864"/>
      <c r="AF65" s="864"/>
      <c r="AG65" s="864"/>
      <c r="AH65" s="864"/>
      <c r="AI65" s="864"/>
      <c r="AJ65" s="864"/>
      <c r="AK65" s="864"/>
      <c r="AL65" s="864"/>
      <c r="AM65" s="864"/>
      <c r="AN65" s="864"/>
      <c r="AQ65" s="880"/>
      <c r="BL65" s="1" t="s">
        <v>317</v>
      </c>
      <c r="BM65" s="1" t="s">
        <v>255</v>
      </c>
      <c r="BR65" s="1" t="s">
        <v>1002</v>
      </c>
      <c r="BS65" s="1" t="s">
        <v>1424</v>
      </c>
      <c r="CJ65" s="306" t="s">
        <v>1180</v>
      </c>
      <c r="CK65" t="s">
        <v>2679</v>
      </c>
    </row>
    <row r="66" spans="1:89" ht="16.350000000000001" customHeight="1">
      <c r="V66" s="865" t="str">
        <f>('Translate&amp;Prices&amp;Logo'!$O$174)&amp;" "&amp;"-"&amp;" "&amp;('Translate&amp;Prices&amp;Logo'!$O$169)&amp;" "&amp;" "&amp;2</f>
        <v>Ilość sztuk - Ramka  2</v>
      </c>
      <c r="W66" s="865"/>
      <c r="X66" s="865"/>
      <c r="Y66" s="865"/>
      <c r="Z66" s="865"/>
      <c r="AA66" s="113"/>
      <c r="AB66" s="864">
        <f>Ram_2!$H$28</f>
        <v>0</v>
      </c>
      <c r="AC66" s="864"/>
      <c r="AD66" s="864"/>
      <c r="AE66" s="864"/>
      <c r="AF66" s="864"/>
      <c r="AG66" s="864"/>
      <c r="AH66" s="864"/>
      <c r="AI66" s="864"/>
      <c r="AJ66" s="864"/>
      <c r="AK66" s="864"/>
      <c r="AL66" s="864"/>
      <c r="AM66" s="864"/>
      <c r="AN66" s="864"/>
      <c r="AQ66" s="880"/>
      <c r="BL66" s="1" t="s">
        <v>318</v>
      </c>
      <c r="BM66" s="1" t="s">
        <v>256</v>
      </c>
      <c r="BR66" s="1" t="s">
        <v>993</v>
      </c>
      <c r="BS66" s="1" t="s">
        <v>250</v>
      </c>
      <c r="CJ66" s="306" t="s">
        <v>1186</v>
      </c>
      <c r="CK66" t="s">
        <v>1186</v>
      </c>
    </row>
    <row r="67" spans="1:89" ht="16.350000000000001" customHeight="1">
      <c r="AD67" s="1"/>
      <c r="AE67" s="1"/>
      <c r="AQ67" s="880"/>
      <c r="BL67" s="1" t="s">
        <v>1373</v>
      </c>
      <c r="BM67" s="1" t="s">
        <v>1425</v>
      </c>
      <c r="BR67" s="1" t="s">
        <v>994</v>
      </c>
      <c r="BS67" s="1" t="s">
        <v>251</v>
      </c>
      <c r="CJ67" s="306" t="s">
        <v>2682</v>
      </c>
      <c r="CK67" t="s">
        <v>3217</v>
      </c>
    </row>
    <row r="68" spans="1:89" ht="14.85" customHeight="1">
      <c r="AQ68" s="880"/>
      <c r="BL68" s="1" t="s">
        <v>1476</v>
      </c>
      <c r="BM68" s="1" t="s">
        <v>253</v>
      </c>
      <c r="BR68" s="191" t="s">
        <v>2428</v>
      </c>
      <c r="BS68" s="191" t="s">
        <v>2432</v>
      </c>
      <c r="CJ68" s="306" t="s">
        <v>2685</v>
      </c>
      <c r="CK68" t="s">
        <v>3218</v>
      </c>
    </row>
    <row r="69" spans="1:89" ht="14.85" customHeight="1">
      <c r="V69" s="870" t="s">
        <v>1725</v>
      </c>
      <c r="W69" s="870"/>
      <c r="X69" s="870"/>
      <c r="Y69" s="870"/>
      <c r="AD69" s="870" t="s">
        <v>1726</v>
      </c>
      <c r="AE69" s="870"/>
      <c r="AF69" s="870"/>
      <c r="AG69" s="870"/>
      <c r="AQ69" s="880"/>
      <c r="BL69" s="1" t="s">
        <v>1477</v>
      </c>
      <c r="BM69" s="1" t="s">
        <v>254</v>
      </c>
      <c r="BR69" s="191" t="s">
        <v>2429</v>
      </c>
      <c r="BS69" s="191" t="s">
        <v>2433</v>
      </c>
      <c r="CJ69" s="306" t="s">
        <v>1173</v>
      </c>
      <c r="CK69" t="s">
        <v>3116</v>
      </c>
    </row>
    <row r="70" spans="1:89" ht="14.85" customHeight="1">
      <c r="AD70" s="882"/>
      <c r="AE70" s="883"/>
      <c r="AF70" s="883"/>
      <c r="AG70" s="883"/>
      <c r="AH70" s="883"/>
      <c r="AI70" s="883"/>
      <c r="AJ70" s="883"/>
      <c r="AK70" s="883"/>
      <c r="AL70" s="883"/>
      <c r="AM70" s="884"/>
      <c r="AQ70" s="880"/>
      <c r="BL70" s="1" t="s">
        <v>1601</v>
      </c>
      <c r="BM70" s="1" t="s">
        <v>255</v>
      </c>
      <c r="BR70" s="191" t="s">
        <v>2430</v>
      </c>
      <c r="BS70" s="191" t="s">
        <v>2434</v>
      </c>
      <c r="CJ70" s="306" t="s">
        <v>1181</v>
      </c>
      <c r="CK70" t="s">
        <v>3117</v>
      </c>
    </row>
    <row r="71" spans="1:89" ht="14.85" customHeight="1">
      <c r="AD71" s="885"/>
      <c r="AE71" s="886"/>
      <c r="AF71" s="886"/>
      <c r="AG71" s="886"/>
      <c r="AH71" s="886"/>
      <c r="AI71" s="886"/>
      <c r="AJ71" s="886"/>
      <c r="AK71" s="886"/>
      <c r="AL71" s="886"/>
      <c r="AM71" s="887"/>
      <c r="AQ71" s="880"/>
      <c r="BL71" s="1" t="s">
        <v>1602</v>
      </c>
      <c r="BM71" s="1" t="s">
        <v>256</v>
      </c>
      <c r="BR71" s="191" t="s">
        <v>2431</v>
      </c>
      <c r="BS71" s="191" t="s">
        <v>2435</v>
      </c>
      <c r="CJ71" s="306" t="s">
        <v>1174</v>
      </c>
      <c r="CK71" t="s">
        <v>2677</v>
      </c>
    </row>
    <row r="72" spans="1:89" ht="14.85" customHeight="1">
      <c r="AD72" s="885"/>
      <c r="AE72" s="886"/>
      <c r="AF72" s="886"/>
      <c r="AG72" s="886"/>
      <c r="AH72" s="886"/>
      <c r="AI72" s="886"/>
      <c r="AJ72" s="886"/>
      <c r="AK72" s="886"/>
      <c r="AL72" s="886"/>
      <c r="AM72" s="887"/>
      <c r="AQ72" s="880"/>
      <c r="BL72" s="1" t="s">
        <v>1051</v>
      </c>
      <c r="BM72" s="1" t="s">
        <v>1425</v>
      </c>
      <c r="BR72" s="233" t="s">
        <v>105</v>
      </c>
      <c r="BS72" s="191" t="s">
        <v>252</v>
      </c>
      <c r="CJ72" s="306" t="s">
        <v>1153</v>
      </c>
      <c r="CK72" t="s">
        <v>1153</v>
      </c>
    </row>
    <row r="73" spans="1:89" ht="14.85" customHeight="1">
      <c r="C73" s="894">
        <f>IF(OR(Ram_2!$AC$25="x",Ram_2!$AJ$26="x",Ram_2!$AC$9="x",Ram_2!$AJ$7="x",Ram_2!$AB$16="x",Ram_2!$AM$23="x",Ram_2!$AN$19="x",Ram_2!$AD$10="x"),'Translate&amp;Prices&amp;Logo'!$B$588,0)</f>
        <v>0</v>
      </c>
      <c r="D73" s="894"/>
      <c r="E73" s="894"/>
      <c r="F73" s="894"/>
      <c r="G73" s="894"/>
      <c r="H73" s="894"/>
      <c r="I73" s="894"/>
      <c r="J73" s="894"/>
      <c r="K73" s="894"/>
      <c r="L73" s="894"/>
      <c r="M73" s="894"/>
      <c r="N73" s="894"/>
      <c r="O73" s="894"/>
      <c r="AD73" s="885"/>
      <c r="AE73" s="886"/>
      <c r="AF73" s="886"/>
      <c r="AG73" s="886"/>
      <c r="AH73" s="886"/>
      <c r="AI73" s="886"/>
      <c r="AJ73" s="886"/>
      <c r="AK73" s="886"/>
      <c r="AL73" s="886"/>
      <c r="AM73" s="887"/>
      <c r="AQ73" s="880"/>
      <c r="BR73" s="191" t="s">
        <v>191</v>
      </c>
      <c r="BS73" s="191" t="s">
        <v>252</v>
      </c>
      <c r="CJ73" s="306" t="s">
        <v>1163</v>
      </c>
      <c r="CK73" t="s">
        <v>1163</v>
      </c>
    </row>
    <row r="74" spans="1:89" ht="14.85" customHeight="1">
      <c r="AD74" s="885"/>
      <c r="AE74" s="886"/>
      <c r="AF74" s="886"/>
      <c r="AG74" s="886"/>
      <c r="AH74" s="886"/>
      <c r="AI74" s="886"/>
      <c r="AJ74" s="886"/>
      <c r="AK74" s="886"/>
      <c r="AL74" s="886"/>
      <c r="AM74" s="887"/>
      <c r="AQ74" s="880"/>
      <c r="BR74" s="191" t="s">
        <v>314</v>
      </c>
      <c r="BS74" s="191" t="s">
        <v>252</v>
      </c>
      <c r="CJ74" s="306" t="s">
        <v>1182</v>
      </c>
      <c r="CK74" t="s">
        <v>2680</v>
      </c>
    </row>
    <row r="75" spans="1:89" ht="14.85" customHeight="1" thickBot="1">
      <c r="AD75" s="885"/>
      <c r="AE75" s="886"/>
      <c r="AF75" s="886"/>
      <c r="AG75" s="886"/>
      <c r="AH75" s="886"/>
      <c r="AI75" s="886"/>
      <c r="AJ75" s="886"/>
      <c r="AK75" s="886"/>
      <c r="AL75" s="886"/>
      <c r="AM75" s="887"/>
      <c r="AQ75" s="880"/>
      <c r="BR75" s="191" t="s">
        <v>995</v>
      </c>
      <c r="BS75" s="191" t="s">
        <v>252</v>
      </c>
      <c r="CJ75" s="306" t="s">
        <v>1177</v>
      </c>
      <c r="CK75" t="s">
        <v>2678</v>
      </c>
    </row>
    <row r="76" spans="1:89" ht="14.85" customHeight="1" thickBot="1">
      <c r="F76" s="871" t="str">
        <f>'Translate&amp;Prices&amp;Logo'!$O$175</f>
        <v>Szerokość</v>
      </c>
      <c r="G76" s="872">
        <f>Ram_1!AG66</f>
        <v>0</v>
      </c>
      <c r="H76" s="872">
        <f>Ram_1!AH66</f>
        <v>0</v>
      </c>
      <c r="I76" s="873">
        <f>Ram_2!AI30</f>
        <v>0</v>
      </c>
      <c r="J76" s="873">
        <f>Ram_1!AJ66</f>
        <v>0</v>
      </c>
      <c r="K76" s="874">
        <f>Ram_1!AK66</f>
        <v>0</v>
      </c>
      <c r="AD76" s="885"/>
      <c r="AE76" s="886"/>
      <c r="AF76" s="886"/>
      <c r="AG76" s="886"/>
      <c r="AH76" s="886"/>
      <c r="AI76" s="886"/>
      <c r="AJ76" s="886"/>
      <c r="AK76" s="886"/>
      <c r="AL76" s="886"/>
      <c r="AM76" s="887"/>
      <c r="AQ76" s="880"/>
      <c r="CJ76" s="306" t="s">
        <v>1156</v>
      </c>
      <c r="CK76" t="s">
        <v>1156</v>
      </c>
    </row>
    <row r="77" spans="1:89" ht="21" customHeight="1">
      <c r="AD77" s="888"/>
      <c r="AE77" s="889"/>
      <c r="AF77" s="889"/>
      <c r="AG77" s="889"/>
      <c r="AH77" s="889"/>
      <c r="AI77" s="889"/>
      <c r="AJ77" s="889"/>
      <c r="AK77" s="889"/>
      <c r="AL77" s="889"/>
      <c r="AM77" s="890"/>
      <c r="AQ77" s="880"/>
      <c r="CJ77" s="306" t="s">
        <v>1183</v>
      </c>
      <c r="CK77" t="s">
        <v>3118</v>
      </c>
    </row>
    <row r="78" spans="1:89" ht="14.85" customHeight="1">
      <c r="AQ78" s="880"/>
      <c r="CJ78" s="306" t="s">
        <v>1184</v>
      </c>
      <c r="CK78" t="s">
        <v>2681</v>
      </c>
    </row>
    <row r="79" spans="1:89" ht="14.85" customHeight="1">
      <c r="AQ79" s="880"/>
      <c r="CJ79" s="306" t="s">
        <v>2683</v>
      </c>
      <c r="CK79" t="s">
        <v>3220</v>
      </c>
    </row>
    <row r="80" spans="1:89"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181"/>
      <c r="AE80" s="182"/>
      <c r="AF80" s="30"/>
      <c r="AG80" s="30"/>
      <c r="AH80" s="30"/>
      <c r="AI80" s="30"/>
      <c r="AJ80" s="30"/>
      <c r="AK80" s="30"/>
      <c r="AL80" s="30"/>
      <c r="AM80" s="30"/>
      <c r="AN80" s="30"/>
      <c r="AO80" s="30"/>
      <c r="AP80" s="30"/>
      <c r="AQ80" s="30"/>
      <c r="CJ80" s="306" t="s">
        <v>1165</v>
      </c>
      <c r="CK80" t="s">
        <v>1165</v>
      </c>
    </row>
    <row r="81" spans="9:89" ht="35.1" customHeight="1" thickBot="1">
      <c r="I81" s="178"/>
      <c r="J81" s="178"/>
      <c r="K81" s="178"/>
      <c r="L81" s="178"/>
      <c r="M81" s="178"/>
      <c r="N81" s="178"/>
      <c r="O81" s="178"/>
      <c r="P81" s="178"/>
      <c r="Q81" s="178"/>
      <c r="R81" s="178"/>
      <c r="S81" s="178"/>
      <c r="T81" s="178"/>
      <c r="U81" s="178"/>
      <c r="V81" s="869" t="str">
        <f>'Translate&amp;Prices&amp;Logo'!$O$256</f>
        <v>Numer zamówienia</v>
      </c>
      <c r="W81" s="869"/>
      <c r="X81" s="869"/>
      <c r="Y81" s="869"/>
      <c r="Z81" s="869"/>
      <c r="AA81" s="113"/>
      <c r="AB81" s="866"/>
      <c r="AC81" s="867"/>
      <c r="AD81" s="867"/>
      <c r="AE81" s="867"/>
      <c r="AF81" s="867"/>
      <c r="AG81" s="867"/>
      <c r="AH81" s="867"/>
      <c r="AI81" s="867"/>
      <c r="AJ81" s="867"/>
      <c r="AK81" s="867"/>
      <c r="AL81" s="867"/>
      <c r="AM81" s="867"/>
      <c r="AN81" s="868"/>
      <c r="AQ81" s="880" t="s">
        <v>1729</v>
      </c>
      <c r="CJ81" s="306" t="s">
        <v>1178</v>
      </c>
      <c r="CK81" t="s">
        <v>3119</v>
      </c>
    </row>
    <row r="82" spans="9:89" ht="16.350000000000001" customHeight="1">
      <c r="V82" s="865" t="str">
        <f>'Translate&amp;Prices&amp;Logo'!$O$542</f>
        <v>Połączenie 2 profili</v>
      </c>
      <c r="W82" s="865"/>
      <c r="X82" s="865"/>
      <c r="Y82" s="865"/>
      <c r="Z82" s="865"/>
      <c r="AA82" s="113"/>
      <c r="AB82" s="879" t="str">
        <f>IF(kombinace_3!$H$1=TRUE,"Tak","Nie")</f>
        <v>Nie</v>
      </c>
      <c r="AC82" s="879"/>
      <c r="AD82" s="879"/>
      <c r="AE82" s="879"/>
      <c r="AF82" s="879"/>
      <c r="AG82" s="879"/>
      <c r="AH82" s="879"/>
      <c r="AI82" s="879"/>
      <c r="AJ82" s="879"/>
      <c r="AK82" s="879"/>
      <c r="AL82" s="879"/>
      <c r="AM82" s="879"/>
      <c r="AN82" s="879"/>
      <c r="AQ82" s="880"/>
      <c r="CJ82" s="306" t="s">
        <v>2684</v>
      </c>
      <c r="CK82" t="s">
        <v>3221</v>
      </c>
    </row>
    <row r="83" spans="9:89" ht="16.350000000000001" customHeight="1">
      <c r="V83" s="865" t="str">
        <f>'Translate&amp;Prices&amp;Logo'!$O$172</f>
        <v>Rodzaj profilu</v>
      </c>
      <c r="W83" s="865"/>
      <c r="X83" s="865"/>
      <c r="Y83" s="865"/>
      <c r="Z83" s="865"/>
      <c r="AA83" s="113"/>
      <c r="AB83" s="864">
        <f>IFERROR(VLOOKUP(Ram_3!$H$8,'Translate&amp;Prices&amp;Logo'!AA:AB,2,0),Ram_3!$H$8)</f>
        <v>0</v>
      </c>
      <c r="AC83" s="864"/>
      <c r="AD83" s="864"/>
      <c r="AE83" s="864"/>
      <c r="AF83" s="864"/>
      <c r="AG83" s="864"/>
      <c r="AH83" s="864"/>
      <c r="AI83" s="864"/>
      <c r="AJ83" s="864"/>
      <c r="AK83" s="864"/>
      <c r="AL83" s="864"/>
      <c r="AM83" s="864"/>
      <c r="AN83" s="864"/>
      <c r="AQ83" s="880"/>
      <c r="CJ83" s="306" t="s">
        <v>2687</v>
      </c>
      <c r="CK83" t="s">
        <v>3222</v>
      </c>
    </row>
    <row r="84" spans="9:89" ht="16.350000000000001" customHeight="1">
      <c r="V84" s="865" t="str">
        <f>'Translate&amp;Prices&amp;Logo'!$O$543</f>
        <v>Szprosy</v>
      </c>
      <c r="W84" s="865"/>
      <c r="X84" s="865"/>
      <c r="Y84" s="865"/>
      <c r="Z84" s="865"/>
      <c r="AA84" s="113"/>
      <c r="AB84" s="864" t="str">
        <f>IFERROR(VLOOKUP(Ram_3!$AU$10,AT84:AU87,2,0),0)</f>
        <v>Nie</v>
      </c>
      <c r="AC84" s="864"/>
      <c r="AD84" s="864"/>
      <c r="AE84" s="864"/>
      <c r="AF84" s="864"/>
      <c r="AG84" s="864"/>
      <c r="AH84" s="864"/>
      <c r="AI84" s="864"/>
      <c r="AJ84" s="864"/>
      <c r="AK84" s="864"/>
      <c r="AL84" s="864"/>
      <c r="AM84" s="864"/>
      <c r="AN84" s="864"/>
      <c r="AQ84" s="880"/>
      <c r="AT84">
        <v>0</v>
      </c>
      <c r="AU84" t="str">
        <f>'Translate&amp;Prices&amp;Logo'!$O$557</f>
        <v>Nie</v>
      </c>
      <c r="AY84">
        <v>2</v>
      </c>
      <c r="AZ84" t="str">
        <f>'Translate&amp;Prices&amp;Logo'!$O$551</f>
        <v>Zawiasy</v>
      </c>
      <c r="BC84" s="1" t="s">
        <v>69</v>
      </c>
      <c r="BD84" s="1" t="s">
        <v>222</v>
      </c>
      <c r="BH84" s="1" t="s">
        <v>52</v>
      </c>
      <c r="BI84" s="1" t="s">
        <v>216</v>
      </c>
      <c r="BL84" s="1" t="s">
        <v>107</v>
      </c>
      <c r="BM84" s="1" t="s">
        <v>253</v>
      </c>
      <c r="BR84" s="1" t="s">
        <v>113</v>
      </c>
      <c r="BS84" s="1" t="s">
        <v>1239</v>
      </c>
      <c r="BW84" s="1">
        <v>1</v>
      </c>
      <c r="BX84" s="1" t="str">
        <f>'Translate&amp;Prices&amp;Logo'!$O$100</f>
        <v>Bez modyfikacji</v>
      </c>
      <c r="BZ84" t="s">
        <v>1039</v>
      </c>
      <c r="CA84" t="s">
        <v>1439</v>
      </c>
      <c r="CJ84" s="306" t="s">
        <v>1179</v>
      </c>
      <c r="CK84" t="s">
        <v>3120</v>
      </c>
    </row>
    <row r="85" spans="9:89" ht="16.350000000000001" customHeight="1">
      <c r="V85" s="183"/>
      <c r="W85" s="183"/>
      <c r="X85" s="183"/>
      <c r="Y85" s="183"/>
      <c r="Z85" s="183"/>
      <c r="AA85" s="113"/>
      <c r="AB85" s="881" t="str">
        <f>'Translate&amp;Prices&amp;Logo'!$O$558</f>
        <v>Poziomo (termin dostawy 4 tygodnie)</v>
      </c>
      <c r="AC85" s="881"/>
      <c r="AD85" s="881"/>
      <c r="AE85" s="881"/>
      <c r="AF85" s="881"/>
      <c r="AG85" s="881"/>
      <c r="AH85" s="881"/>
      <c r="AI85" s="881" t="str">
        <f>'Translate&amp;Prices&amp;Logo'!$O$559</f>
        <v>Pionowo (termin dostawy 4 tygodnie)</v>
      </c>
      <c r="AJ85" s="881"/>
      <c r="AK85" s="881"/>
      <c r="AL85" s="881"/>
      <c r="AM85" s="881"/>
      <c r="AN85" s="881"/>
      <c r="AQ85" s="880"/>
      <c r="AT85">
        <v>1</v>
      </c>
      <c r="AU85" t="str">
        <f>'Translate&amp;Prices&amp;Logo'!$O$558</f>
        <v>Poziomo (termin dostawy 4 tygodnie)</v>
      </c>
      <c r="AY85">
        <v>3</v>
      </c>
      <c r="AZ85" t="str">
        <f>'Translate&amp;Prices&amp;Logo'!$O$552</f>
        <v>Podnośniki</v>
      </c>
      <c r="BC85" s="1" t="s">
        <v>70</v>
      </c>
      <c r="BD85" s="1" t="s">
        <v>223</v>
      </c>
      <c r="BH85" s="1" t="s">
        <v>51</v>
      </c>
      <c r="BI85" s="1" t="s">
        <v>217</v>
      </c>
      <c r="BL85" s="1" t="s">
        <v>108</v>
      </c>
      <c r="BM85" s="1" t="s">
        <v>254</v>
      </c>
      <c r="BR85" s="1" t="s">
        <v>114</v>
      </c>
      <c r="BS85" s="1" t="s">
        <v>1424</v>
      </c>
      <c r="BW85" s="1">
        <v>2</v>
      </c>
      <c r="BX85" s="1" t="str">
        <f>'Translate&amp;Prices&amp;Logo'!$O$101</f>
        <v>Hartowane</v>
      </c>
      <c r="BZ85" t="s">
        <v>1042</v>
      </c>
      <c r="CA85" t="s">
        <v>1440</v>
      </c>
      <c r="CJ85" s="306" t="s">
        <v>1185</v>
      </c>
      <c r="CK85" t="s">
        <v>3121</v>
      </c>
    </row>
    <row r="86" spans="9:89" ht="16.350000000000001" customHeight="1">
      <c r="V86" s="865" t="str">
        <f>('Translate&amp;Prices&amp;Logo'!$O$543)&amp;" "&amp;"("&amp;'Translate&amp;Prices&amp;Logo'!$O$174&amp;")"</f>
        <v>Szprosy (Ilość sztuk)</v>
      </c>
      <c r="W86" s="865"/>
      <c r="X86" s="865"/>
      <c r="Y86" s="865"/>
      <c r="Z86" s="865"/>
      <c r="AA86" s="113"/>
      <c r="AB86" s="864">
        <f>Ram_3!$H$11</f>
        <v>0</v>
      </c>
      <c r="AC86" s="864"/>
      <c r="AD86" s="864"/>
      <c r="AE86" s="864"/>
      <c r="AF86" s="864"/>
      <c r="AG86" s="864"/>
      <c r="AH86" s="864"/>
      <c r="AI86" s="864">
        <f>Ram_3!$M$11</f>
        <v>0</v>
      </c>
      <c r="AJ86" s="864"/>
      <c r="AK86" s="864"/>
      <c r="AL86" s="864"/>
      <c r="AM86" s="864"/>
      <c r="AN86" s="864"/>
      <c r="AQ86" s="880"/>
      <c r="AT86">
        <v>2</v>
      </c>
      <c r="AU86" t="str">
        <f>'Translate&amp;Prices&amp;Logo'!$O$559</f>
        <v>Pionowo (termin dostawy 4 tygodnie)</v>
      </c>
      <c r="BC86" s="1" t="s">
        <v>71</v>
      </c>
      <c r="BD86" s="1" t="s">
        <v>1254</v>
      </c>
      <c r="BH86" s="1" t="s">
        <v>160</v>
      </c>
      <c r="BI86" s="1" t="s">
        <v>216</v>
      </c>
      <c r="BL86" s="1" t="s">
        <v>110</v>
      </c>
      <c r="BM86" s="1" t="s">
        <v>255</v>
      </c>
      <c r="BR86" s="1" t="s">
        <v>104</v>
      </c>
      <c r="BS86" s="1" t="s">
        <v>250</v>
      </c>
      <c r="BW86" s="1">
        <v>3</v>
      </c>
      <c r="BX86" s="1" t="str">
        <f>'Translate&amp;Prices&amp;Logo'!$O$102</f>
        <v>Folia</v>
      </c>
      <c r="BZ86" t="s">
        <v>1045</v>
      </c>
      <c r="CA86" t="s">
        <v>1441</v>
      </c>
      <c r="CJ86" s="307" t="s">
        <v>2710</v>
      </c>
      <c r="CK86" t="s">
        <v>2710</v>
      </c>
    </row>
    <row r="87" spans="9:89" ht="16.350000000000001" customHeight="1">
      <c r="V87" s="865" t="str">
        <f>'Translate&amp;Prices&amp;Logo'!$O$258</f>
        <v>Typ okucia</v>
      </c>
      <c r="W87" s="865"/>
      <c r="X87" s="865"/>
      <c r="Y87" s="865"/>
      <c r="Z87" s="865"/>
      <c r="AA87" s="113"/>
      <c r="AB87" s="864">
        <f>IFERROR(VLOOKUP(Ram_3!$AU$9,AY84:AZ85,2,0),0)</f>
        <v>0</v>
      </c>
      <c r="AC87" s="864"/>
      <c r="AD87" s="864"/>
      <c r="AE87" s="864"/>
      <c r="AF87" s="864"/>
      <c r="AG87" s="864"/>
      <c r="AH87" s="864"/>
      <c r="AI87" s="864"/>
      <c r="AJ87" s="864"/>
      <c r="AK87" s="864"/>
      <c r="AL87" s="864"/>
      <c r="AM87" s="864"/>
      <c r="AN87" s="864"/>
      <c r="AQ87" s="880"/>
      <c r="AT87">
        <v>3</v>
      </c>
      <c r="AU87" t="str">
        <f>'Translate&amp;Prices&amp;Logo'!$O$560</f>
        <v>Poziomo i pionowo (termin dostawy 4 tygodnie)</v>
      </c>
      <c r="BC87" s="1" t="s">
        <v>69</v>
      </c>
      <c r="BD87" s="1" t="s">
        <v>222</v>
      </c>
      <c r="BH87" s="1" t="s">
        <v>161</v>
      </c>
      <c r="BI87" s="1" t="s">
        <v>217</v>
      </c>
      <c r="BL87" s="1" t="s">
        <v>109</v>
      </c>
      <c r="BM87" s="1" t="s">
        <v>256</v>
      </c>
      <c r="BR87" s="1" t="s">
        <v>103</v>
      </c>
      <c r="BS87" s="1" t="s">
        <v>251</v>
      </c>
      <c r="BZ87" t="s">
        <v>1328</v>
      </c>
      <c r="CA87" t="s">
        <v>1439</v>
      </c>
      <c r="CJ87" s="307" t="s">
        <v>2711</v>
      </c>
      <c r="CK87" t="s">
        <v>2711</v>
      </c>
    </row>
    <row r="88" spans="9:89" ht="16.350000000000001" customHeight="1">
      <c r="V88" s="865" t="str">
        <f>'Translate&amp;Prices&amp;Logo'!$O$544</f>
        <v>Marka okucia</v>
      </c>
      <c r="W88" s="865"/>
      <c r="X88" s="865"/>
      <c r="Y88" s="865"/>
      <c r="Z88" s="865"/>
      <c r="AA88" s="113"/>
      <c r="AB88" s="864">
        <f>Ram_3!$H$13</f>
        <v>0</v>
      </c>
      <c r="AC88" s="864"/>
      <c r="AD88" s="864"/>
      <c r="AE88" s="864"/>
      <c r="AF88" s="864"/>
      <c r="AG88" s="864"/>
      <c r="AH88" s="864"/>
      <c r="AI88" s="864"/>
      <c r="AJ88" s="864"/>
      <c r="AK88" s="864"/>
      <c r="AL88" s="864"/>
      <c r="AM88" s="864"/>
      <c r="AN88" s="864"/>
      <c r="AQ88" s="880"/>
      <c r="BC88" s="1" t="s">
        <v>70</v>
      </c>
      <c r="BD88" s="1" t="s">
        <v>223</v>
      </c>
      <c r="BH88" s="1" t="s">
        <v>410</v>
      </c>
      <c r="BI88" s="1" t="s">
        <v>216</v>
      </c>
      <c r="BL88" s="1" t="s">
        <v>111</v>
      </c>
      <c r="BM88" s="1" t="s">
        <v>1425</v>
      </c>
      <c r="BR88" s="1" t="s">
        <v>1241</v>
      </c>
      <c r="BS88" s="1" t="s">
        <v>1239</v>
      </c>
      <c r="BZ88" t="s">
        <v>1329</v>
      </c>
      <c r="CA88" t="s">
        <v>1440</v>
      </c>
      <c r="CJ88" s="307" t="s">
        <v>3130</v>
      </c>
      <c r="CK88" t="s">
        <v>3424</v>
      </c>
    </row>
    <row r="89" spans="9:89" ht="16.350000000000001" customHeight="1" thickBot="1">
      <c r="V89" s="865" t="str">
        <f>'Translate&amp;Prices&amp;Logo'!$O$546</f>
        <v>Nałożenie</v>
      </c>
      <c r="W89" s="865"/>
      <c r="X89" s="865"/>
      <c r="Y89" s="865"/>
      <c r="Z89" s="865"/>
      <c r="AA89" s="113"/>
      <c r="AB89" s="864">
        <f>IFERROR(VLOOKUP(Ram_3!$H$14,BC84:BD98,2,0),0)</f>
        <v>0</v>
      </c>
      <c r="AC89" s="864"/>
      <c r="AD89" s="864"/>
      <c r="AE89" s="864"/>
      <c r="AF89" s="864"/>
      <c r="AG89" s="864"/>
      <c r="AH89" s="864"/>
      <c r="AI89" s="864"/>
      <c r="AJ89" s="864"/>
      <c r="AK89" s="864"/>
      <c r="AL89" s="864"/>
      <c r="AM89" s="864"/>
      <c r="AN89" s="864"/>
      <c r="AQ89" s="880"/>
      <c r="BC89" s="1" t="s">
        <v>71</v>
      </c>
      <c r="BD89" s="1" t="s">
        <v>1254</v>
      </c>
      <c r="BH89" s="1" t="s">
        <v>283</v>
      </c>
      <c r="BI89" s="1" t="s">
        <v>217</v>
      </c>
      <c r="BL89" s="1" t="s">
        <v>193</v>
      </c>
      <c r="BM89" s="1" t="s">
        <v>253</v>
      </c>
      <c r="BR89" s="1" t="s">
        <v>114</v>
      </c>
      <c r="BS89" s="1" t="s">
        <v>1424</v>
      </c>
      <c r="BZ89" t="s">
        <v>1330</v>
      </c>
      <c r="CA89" t="s">
        <v>1441</v>
      </c>
      <c r="CJ89" s="307" t="s">
        <v>3131</v>
      </c>
      <c r="CK89" t="s">
        <v>3219</v>
      </c>
    </row>
    <row r="90" spans="9:89" ht="16.350000000000001" customHeight="1">
      <c r="R90" s="875">
        <f>Ram_3!AR14</f>
        <v>0</v>
      </c>
      <c r="V90" s="865" t="str">
        <f>'Translate&amp;Prices&amp;Logo'!$O$545</f>
        <v>Wariant okucia</v>
      </c>
      <c r="W90" s="865"/>
      <c r="X90" s="865"/>
      <c r="Y90" s="865"/>
      <c r="Z90" s="865"/>
      <c r="AA90" s="113"/>
      <c r="AB90" s="864">
        <f>IFERROR(VLOOKUP(Ram_3!$H$15,kombinace_1!$ED:$EE,2,0),Ram_3!$H$15)</f>
        <v>0</v>
      </c>
      <c r="AC90" s="864"/>
      <c r="AD90" s="864"/>
      <c r="AE90" s="864"/>
      <c r="AF90" s="864"/>
      <c r="AG90" s="864"/>
      <c r="AH90" s="864" t="str">
        <f>IF(AB90='Translate&amp;Prices&amp;Logo'!C698,VLOOKUP(Ram_3!H17,'Translate&amp;Prices&amp;Logo'!C699:D718,2,0),"")</f>
        <v/>
      </c>
      <c r="AI90" s="864"/>
      <c r="AJ90" s="864"/>
      <c r="AK90" s="864"/>
      <c r="AL90" s="864"/>
      <c r="AM90" s="864"/>
      <c r="AN90" s="864"/>
      <c r="AQ90" s="880"/>
      <c r="BC90" s="1" t="s">
        <v>222</v>
      </c>
      <c r="BD90" s="1" t="s">
        <v>222</v>
      </c>
      <c r="BH90" s="1" t="s">
        <v>1468</v>
      </c>
      <c r="BI90" s="1" t="s">
        <v>216</v>
      </c>
      <c r="BL90" s="1" t="s">
        <v>194</v>
      </c>
      <c r="BM90" s="1" t="s">
        <v>254</v>
      </c>
      <c r="BR90" s="1" t="s">
        <v>189</v>
      </c>
      <c r="BS90" s="1" t="s">
        <v>250</v>
      </c>
      <c r="BZ90" t="s">
        <v>1439</v>
      </c>
      <c r="CA90" t="s">
        <v>1439</v>
      </c>
      <c r="CJ90" s="307" t="s">
        <v>2649</v>
      </c>
      <c r="CK90" t="s">
        <v>2649</v>
      </c>
    </row>
    <row r="91" spans="9:89" ht="16.350000000000001" customHeight="1">
      <c r="R91" s="876">
        <f>Ram_1!AR87</f>
        <v>0</v>
      </c>
      <c r="V91" s="865" t="str">
        <f>'Translate&amp;Prices&amp;Logo'!$O$218</f>
        <v>Wybierz pozycję ramki</v>
      </c>
      <c r="W91" s="865"/>
      <c r="X91" s="865"/>
      <c r="Y91" s="865"/>
      <c r="Z91" s="865"/>
      <c r="AA91" s="864">
        <f>IFERROR(VLOOKUP(Ram_3!$F$16,BH84:BI93,2,0),0)</f>
        <v>0</v>
      </c>
      <c r="AB91" s="864"/>
      <c r="AC91" s="864"/>
      <c r="AD91" s="864"/>
      <c r="AE91" s="864"/>
      <c r="AF91" s="865" t="str">
        <f>'Translate&amp;Prices&amp;Logo'!$O$232</f>
        <v>Rodzaj drugiej ramki</v>
      </c>
      <c r="AG91" s="865"/>
      <c r="AH91" s="865"/>
      <c r="AI91" s="865"/>
      <c r="AJ91" s="865"/>
      <c r="AK91" s="864">
        <f>IFERROR(VLOOKUP(Ram_3!$N$16,BL84:BM108,2,0),0)</f>
        <v>0</v>
      </c>
      <c r="AL91" s="864"/>
      <c r="AM91" s="864"/>
      <c r="AN91" s="864"/>
      <c r="AQ91" s="880"/>
      <c r="BC91" s="1" t="s">
        <v>223</v>
      </c>
      <c r="BD91" s="1" t="s">
        <v>223</v>
      </c>
      <c r="BH91" s="1" t="s">
        <v>1469</v>
      </c>
      <c r="BI91" s="1" t="s">
        <v>217</v>
      </c>
      <c r="BL91" s="1" t="s">
        <v>195</v>
      </c>
      <c r="BM91" s="1" t="s">
        <v>255</v>
      </c>
      <c r="BR91" s="1" t="s">
        <v>190</v>
      </c>
      <c r="BS91" s="1" t="s">
        <v>251</v>
      </c>
      <c r="BZ91" t="s">
        <v>1440</v>
      </c>
      <c r="CA91" t="s">
        <v>1440</v>
      </c>
      <c r="CJ91" s="307" t="s">
        <v>2650</v>
      </c>
      <c r="CK91" t="s">
        <v>2650</v>
      </c>
    </row>
    <row r="92" spans="9:89" ht="16.350000000000001" customHeight="1">
      <c r="R92" s="876">
        <f>Ram_1!AR88</f>
        <v>0</v>
      </c>
      <c r="V92" s="865" t="str">
        <f>IF(AB87='Translate&amp;Prices&amp;Logo'!O551,'Translate&amp;Prices&amp;Logo'!O238,'Translate&amp;Prices&amp;Logo'!$O$226)</f>
        <v>Umieszczenie</v>
      </c>
      <c r="W92" s="865"/>
      <c r="X92" s="865"/>
      <c r="Y92" s="865"/>
      <c r="Z92" s="865"/>
      <c r="AA92" s="113"/>
      <c r="AB92" s="864" t="str">
        <f>IFERROR((IF(Ram_3!H12='Translate&amp;Prices&amp;Logo'!B552,VLOOKUP(Ram_3!$N$16,BR48:BS67,2,0),VLOOKUP(Ram_3!$H$17,BR48:BS67,2,0))),"")</f>
        <v/>
      </c>
      <c r="AC92" s="864"/>
      <c r="AD92" s="864"/>
      <c r="AE92" s="864"/>
      <c r="AF92" s="864"/>
      <c r="AG92" s="864"/>
      <c r="AH92" s="864"/>
      <c r="AI92" s="864"/>
      <c r="AJ92" s="864"/>
      <c r="AK92" s="864"/>
      <c r="AL92" s="864"/>
      <c r="AM92" s="864"/>
      <c r="AN92" s="864"/>
      <c r="AQ92" s="880"/>
      <c r="BC92" s="1" t="s">
        <v>1254</v>
      </c>
      <c r="BD92" s="1" t="s">
        <v>1254</v>
      </c>
      <c r="BH92" s="1" t="s">
        <v>216</v>
      </c>
      <c r="BI92" s="1" t="s">
        <v>216</v>
      </c>
      <c r="BL92" s="1" t="s">
        <v>196</v>
      </c>
      <c r="BM92" s="1" t="s">
        <v>256</v>
      </c>
      <c r="BR92" s="1" t="s">
        <v>1239</v>
      </c>
      <c r="BS92" s="1" t="s">
        <v>1239</v>
      </c>
      <c r="BZ92" t="s">
        <v>1441</v>
      </c>
      <c r="CA92" t="s">
        <v>1441</v>
      </c>
      <c r="CJ92" s="307" t="s">
        <v>3132</v>
      </c>
      <c r="CK92" t="s">
        <v>2676</v>
      </c>
    </row>
    <row r="93" spans="9:89" ht="16.350000000000001" customHeight="1">
      <c r="R93" s="876">
        <f>Ram_1!AR89</f>
        <v>0</v>
      </c>
      <c r="V93" s="865" t="str">
        <f>'Translate&amp;Prices&amp;Logo'!$O$547</f>
        <v>Zawiasy do podnośników</v>
      </c>
      <c r="W93" s="865"/>
      <c r="X93" s="865"/>
      <c r="Y93" s="865"/>
      <c r="Z93" s="865"/>
      <c r="AA93" s="113"/>
      <c r="AB93" s="864" t="str">
        <f>IFERROR((VLOOKUP(Ram_3!$H$18,CJ:CK,2,0)),"")</f>
        <v/>
      </c>
      <c r="AC93" s="864"/>
      <c r="AD93" s="864"/>
      <c r="AE93" s="864"/>
      <c r="AF93" s="864"/>
      <c r="AG93" s="864"/>
      <c r="AH93" s="864"/>
      <c r="AI93" s="864"/>
      <c r="AJ93" s="864"/>
      <c r="AK93" s="864"/>
      <c r="AL93" s="864"/>
      <c r="AM93" s="864"/>
      <c r="AN93" s="864"/>
      <c r="AQ93" s="880"/>
      <c r="BC93" s="1" t="s">
        <v>286</v>
      </c>
      <c r="BD93" s="1" t="s">
        <v>222</v>
      </c>
      <c r="BH93" s="1" t="s">
        <v>217</v>
      </c>
      <c r="BI93" s="1" t="s">
        <v>217</v>
      </c>
      <c r="BL93" s="1" t="s">
        <v>197</v>
      </c>
      <c r="BM93" s="1" t="s">
        <v>1425</v>
      </c>
      <c r="BR93" s="1" t="s">
        <v>1424</v>
      </c>
      <c r="BS93" s="1" t="s">
        <v>1424</v>
      </c>
      <c r="BZ93" t="s">
        <v>1331</v>
      </c>
      <c r="CA93" t="s">
        <v>1439</v>
      </c>
      <c r="CJ93" s="307" t="s">
        <v>3133</v>
      </c>
      <c r="CK93" t="s">
        <v>2679</v>
      </c>
    </row>
    <row r="94" spans="9:89" ht="16.350000000000001" customHeight="1">
      <c r="R94" s="876">
        <f>Ram_1!AR90</f>
        <v>0</v>
      </c>
      <c r="V94" s="865" t="str">
        <f>'Translate&amp;Prices&amp;Logo'!$O$223</f>
        <v>Ilość zawiasów na 1 ramkę</v>
      </c>
      <c r="W94" s="865"/>
      <c r="X94" s="865"/>
      <c r="Y94" s="865"/>
      <c r="Z94" s="865"/>
      <c r="AA94" s="113"/>
      <c r="AB94" s="864">
        <f>Ram_3!$H$19</f>
        <v>0</v>
      </c>
      <c r="AC94" s="864"/>
      <c r="AD94" s="864"/>
      <c r="AE94" s="864"/>
      <c r="AF94" s="864"/>
      <c r="AG94" s="864"/>
      <c r="AH94" s="864"/>
      <c r="AI94" s="864"/>
      <c r="AJ94" s="864"/>
      <c r="AK94" s="864"/>
      <c r="AL94" s="864"/>
      <c r="AM94" s="864"/>
      <c r="AN94" s="864"/>
      <c r="AQ94" s="880"/>
      <c r="BC94" s="1" t="s">
        <v>287</v>
      </c>
      <c r="BD94" s="1" t="s">
        <v>223</v>
      </c>
      <c r="BL94" s="1" t="s">
        <v>253</v>
      </c>
      <c r="BM94" s="1" t="s">
        <v>253</v>
      </c>
      <c r="BR94" s="1" t="s">
        <v>250</v>
      </c>
      <c r="BS94" s="1" t="s">
        <v>250</v>
      </c>
      <c r="BZ94" t="s">
        <v>1414</v>
      </c>
      <c r="CA94" t="s">
        <v>1440</v>
      </c>
      <c r="CJ94" s="307" t="s">
        <v>1186</v>
      </c>
      <c r="CK94" t="s">
        <v>1186</v>
      </c>
    </row>
    <row r="95" spans="9:89" ht="16.350000000000001" customHeight="1">
      <c r="R95" s="877" t="str">
        <f>'Translate&amp;Prices&amp;Logo'!$O$176</f>
        <v>Wysokość</v>
      </c>
      <c r="V95" s="865" t="str">
        <f>IFERROR(('Translate&amp;Prices&amp;Logo'!$O$242&amp;" "&amp;VLOOKUP(Ram_3!H17,kombinace_1!$BY$32:$CC$35,5,0)),"")</f>
        <v/>
      </c>
      <c r="W95" s="865"/>
      <c r="X95" s="865"/>
      <c r="Y95" s="865"/>
      <c r="Z95" s="865"/>
      <c r="AA95" s="113"/>
      <c r="AB95" s="864">
        <f>Ram_3!$F$20</f>
        <v>100</v>
      </c>
      <c r="AC95" s="864"/>
      <c r="AD95" s="864"/>
      <c r="AE95" s="864"/>
      <c r="AF95" s="865" t="str">
        <f>IFERROR(('Translate&amp;Prices&amp;Logo'!$O$242&amp;" "&amp;VLOOKUP(Ram_3!H17,kombinace_1!$BY$32:$CD$35,6,0)),"")</f>
        <v/>
      </c>
      <c r="AG95" s="865"/>
      <c r="AH95" s="865"/>
      <c r="AI95" s="865"/>
      <c r="AJ95" s="865"/>
      <c r="AK95" s="864">
        <f>Ram_3!$N$20</f>
        <v>100</v>
      </c>
      <c r="AL95" s="864"/>
      <c r="AM95" s="864"/>
      <c r="AN95" s="864"/>
      <c r="AQ95" s="880"/>
      <c r="BC95" s="1" t="s">
        <v>288</v>
      </c>
      <c r="BD95" s="1" t="s">
        <v>1254</v>
      </c>
      <c r="BL95" s="1" t="s">
        <v>254</v>
      </c>
      <c r="BM95" s="1" t="s">
        <v>254</v>
      </c>
      <c r="BR95" s="1" t="s">
        <v>251</v>
      </c>
      <c r="BS95" s="1" t="s">
        <v>251</v>
      </c>
      <c r="BZ95" t="s">
        <v>1332</v>
      </c>
      <c r="CA95" t="s">
        <v>1441</v>
      </c>
      <c r="CJ95" s="307" t="s">
        <v>3134</v>
      </c>
      <c r="CK95" t="s">
        <v>3217</v>
      </c>
    </row>
    <row r="96" spans="9:89" ht="16.350000000000001" customHeight="1">
      <c r="R96" s="877">
        <f>Ram_1!AR92</f>
        <v>0</v>
      </c>
      <c r="V96" s="308" t="str">
        <f>'Translate&amp;Prices&amp;Logo'!$O$653</f>
        <v>Wypełnienie z siatki</v>
      </c>
      <c r="W96" s="183"/>
      <c r="X96" s="183"/>
      <c r="Y96" s="183"/>
      <c r="Z96" s="183"/>
      <c r="AA96" s="113"/>
      <c r="AB96" s="863" t="str">
        <f>IF(kombinace_3!FC2=TRUE,"Tak","Nie")</f>
        <v>Nie</v>
      </c>
      <c r="AC96" s="863"/>
      <c r="AD96" s="863"/>
      <c r="AE96" s="863"/>
      <c r="AF96" s="863"/>
      <c r="AG96" s="863"/>
      <c r="AH96" s="863"/>
      <c r="AI96" s="863"/>
      <c r="AJ96" s="863"/>
      <c r="AK96" s="863"/>
      <c r="AL96" s="863"/>
      <c r="AM96" s="863"/>
      <c r="AN96" s="863"/>
      <c r="AQ96" s="880"/>
      <c r="BC96" s="1" t="s">
        <v>1716</v>
      </c>
      <c r="BD96" s="1" t="s">
        <v>222</v>
      </c>
      <c r="BL96" s="1" t="s">
        <v>255</v>
      </c>
      <c r="BM96" s="1" t="s">
        <v>255</v>
      </c>
      <c r="BR96" s="1" t="s">
        <v>1240</v>
      </c>
      <c r="BS96" s="1" t="s">
        <v>1239</v>
      </c>
      <c r="BZ96" t="s">
        <v>1520</v>
      </c>
      <c r="CA96" t="s">
        <v>1439</v>
      </c>
      <c r="CJ96" s="307" t="s">
        <v>3135</v>
      </c>
      <c r="CK96" t="s">
        <v>3218</v>
      </c>
    </row>
    <row r="97" spans="3:89" ht="16.350000000000001" customHeight="1">
      <c r="R97" s="877">
        <f>Ram_1!AR93</f>
        <v>0</v>
      </c>
      <c r="V97" s="865" t="str">
        <f>'Translate&amp;Prices&amp;Logo'!$O$173</f>
        <v>Rodzaj szkła</v>
      </c>
      <c r="W97" s="865"/>
      <c r="X97" s="865"/>
      <c r="Y97" s="865"/>
      <c r="Z97" s="865"/>
      <c r="AA97" s="113"/>
      <c r="AB97" s="864" t="str">
        <f>IFERROR(VLOOKUP(kombinace_3!$V$1,BW84:BX86,2,0),0)</f>
        <v>Bez modyfikacji</v>
      </c>
      <c r="AC97" s="864"/>
      <c r="AD97" s="864"/>
      <c r="AE97" s="864"/>
      <c r="AF97" s="864"/>
      <c r="AG97" s="864"/>
      <c r="AH97" s="864"/>
      <c r="AI97" s="864"/>
      <c r="AJ97" s="864"/>
      <c r="AK97" s="864"/>
      <c r="AL97" s="864"/>
      <c r="AM97" s="864"/>
      <c r="AN97" s="864"/>
      <c r="AQ97" s="880"/>
      <c r="BC97" s="1" t="s">
        <v>1573</v>
      </c>
      <c r="BD97" s="1" t="s">
        <v>223</v>
      </c>
      <c r="BL97" s="1" t="s">
        <v>256</v>
      </c>
      <c r="BM97" s="1" t="s">
        <v>256</v>
      </c>
      <c r="BR97" s="1" t="s">
        <v>1242</v>
      </c>
      <c r="BS97" s="1" t="s">
        <v>1424</v>
      </c>
      <c r="BZ97" t="s">
        <v>1521</v>
      </c>
      <c r="CA97" t="s">
        <v>1440</v>
      </c>
      <c r="CJ97" s="307" t="s">
        <v>3136</v>
      </c>
      <c r="CK97" t="s">
        <v>3116</v>
      </c>
    </row>
    <row r="98" spans="3:89" ht="16.350000000000001" customHeight="1">
      <c r="R98" s="877">
        <f>Ram_1!AR94</f>
        <v>0</v>
      </c>
      <c r="V98" s="865" t="str">
        <f>'Translate&amp;Prices&amp;Logo'!$O$562</f>
        <v>Rodzaj folii</v>
      </c>
      <c r="W98" s="865"/>
      <c r="X98" s="865"/>
      <c r="Y98" s="865"/>
      <c r="Z98" s="865"/>
      <c r="AA98" s="113"/>
      <c r="AB98" s="864">
        <f>IFERROR(VLOOKUP(Ram_3!$H$24,BZ84:CA98,2,0),0)</f>
        <v>0</v>
      </c>
      <c r="AC98" s="864"/>
      <c r="AD98" s="864"/>
      <c r="AE98" s="864"/>
      <c r="AF98" s="864"/>
      <c r="AG98" s="864"/>
      <c r="AH98" s="864"/>
      <c r="AI98" s="864"/>
      <c r="AJ98" s="864"/>
      <c r="AK98" s="864"/>
      <c r="AL98" s="864"/>
      <c r="AM98" s="864"/>
      <c r="AN98" s="864"/>
      <c r="AQ98" s="880"/>
      <c r="BC98" s="1" t="s">
        <v>991</v>
      </c>
      <c r="BD98" s="1" t="s">
        <v>1254</v>
      </c>
      <c r="BL98" s="1" t="s">
        <v>1425</v>
      </c>
      <c r="BM98" s="1" t="s">
        <v>1425</v>
      </c>
      <c r="BR98" s="1" t="s">
        <v>312</v>
      </c>
      <c r="BS98" s="1" t="s">
        <v>250</v>
      </c>
      <c r="BZ98" t="s">
        <v>1522</v>
      </c>
      <c r="CA98" t="s">
        <v>1441</v>
      </c>
      <c r="CJ98" s="307" t="s">
        <v>3137</v>
      </c>
      <c r="CK98" t="s">
        <v>3117</v>
      </c>
    </row>
    <row r="99" spans="3:89" ht="16.350000000000001" customHeight="1" thickBot="1">
      <c r="R99" s="878">
        <f>Ram_1!AR95</f>
        <v>0</v>
      </c>
      <c r="V99" s="865" t="str">
        <f>'Translate&amp;Prices&amp;Logo'!$O$173</f>
        <v>Rodzaj szkła</v>
      </c>
      <c r="W99" s="865"/>
      <c r="X99" s="865"/>
      <c r="Y99" s="865"/>
      <c r="Z99" s="865"/>
      <c r="AA99" s="113"/>
      <c r="AB99" s="864">
        <f>IFERROR(VLOOKUP(Ram_3!$H$25,kombinace_1!DT:DU,2,0),Ram_3!$H$25)</f>
        <v>0</v>
      </c>
      <c r="AC99" s="864"/>
      <c r="AD99" s="864"/>
      <c r="AE99" s="864"/>
      <c r="AF99" s="864"/>
      <c r="AG99" s="864"/>
      <c r="AH99" s="864"/>
      <c r="AI99" s="864"/>
      <c r="AJ99" s="864"/>
      <c r="AK99" s="864"/>
      <c r="AL99" s="864"/>
      <c r="AM99" s="864"/>
      <c r="AN99" s="864"/>
      <c r="AQ99" s="880"/>
      <c r="BL99" s="1" t="s">
        <v>315</v>
      </c>
      <c r="BM99" s="1" t="s">
        <v>253</v>
      </c>
      <c r="BR99" s="1" t="s">
        <v>313</v>
      </c>
      <c r="BS99" s="1" t="s">
        <v>251</v>
      </c>
      <c r="CJ99" s="307" t="s">
        <v>3138</v>
      </c>
      <c r="CK99" t="s">
        <v>2677</v>
      </c>
    </row>
    <row r="100" spans="3:89" ht="16.350000000000001" customHeight="1">
      <c r="V100" s="865" t="str">
        <f>'Translate&amp;Prices&amp;Logo'!$O$549</f>
        <v>Rozstaw uchwytu (mm)</v>
      </c>
      <c r="W100" s="865"/>
      <c r="X100" s="865"/>
      <c r="Y100" s="865"/>
      <c r="Z100" s="865"/>
      <c r="AA100" s="113"/>
      <c r="AB100" s="864">
        <f>Ram_3!$H$26</f>
        <v>0</v>
      </c>
      <c r="AC100" s="864"/>
      <c r="AD100" s="864"/>
      <c r="AE100" s="864"/>
      <c r="AF100" s="864"/>
      <c r="AG100" s="864"/>
      <c r="AH100" s="864"/>
      <c r="AI100" s="864"/>
      <c r="AJ100" s="864"/>
      <c r="AK100" s="864"/>
      <c r="AL100" s="864"/>
      <c r="AM100" s="864"/>
      <c r="AN100" s="864"/>
      <c r="AQ100" s="880"/>
      <c r="BL100" s="1" t="s">
        <v>316</v>
      </c>
      <c r="BM100" s="1" t="s">
        <v>254</v>
      </c>
      <c r="BR100" s="1" t="s">
        <v>1475</v>
      </c>
      <c r="BS100" s="1" t="s">
        <v>1239</v>
      </c>
      <c r="CJ100" s="307" t="s">
        <v>1153</v>
      </c>
      <c r="CK100" t="s">
        <v>1153</v>
      </c>
    </row>
    <row r="101" spans="3:89" ht="16.350000000000001" customHeight="1">
      <c r="V101" s="865" t="str">
        <f>'Translate&amp;Prices&amp;Logo'!$O$550</f>
        <v>Umieszczenie uchwytu</v>
      </c>
      <c r="W101" s="865"/>
      <c r="X101" s="865"/>
      <c r="Y101" s="865"/>
      <c r="Z101" s="865"/>
      <c r="AA101" s="113"/>
      <c r="AB101" s="864">
        <f>IFERROR(VLOOKUP(Ram_3!$H$27,BR84:BS103,2,0),0)</f>
        <v>0</v>
      </c>
      <c r="AC101" s="864"/>
      <c r="AD101" s="864"/>
      <c r="AE101" s="864"/>
      <c r="AF101" s="864"/>
      <c r="AG101" s="864"/>
      <c r="AH101" s="864"/>
      <c r="AI101" s="864"/>
      <c r="AJ101" s="864"/>
      <c r="AK101" s="864"/>
      <c r="AL101" s="864"/>
      <c r="AM101" s="864"/>
      <c r="AN101" s="864"/>
      <c r="AQ101" s="880"/>
      <c r="BL101" s="1" t="s">
        <v>317</v>
      </c>
      <c r="BM101" s="1" t="s">
        <v>255</v>
      </c>
      <c r="BR101" s="1" t="s">
        <v>1002</v>
      </c>
      <c r="BS101" s="1" t="s">
        <v>1424</v>
      </c>
      <c r="CJ101" s="307" t="s">
        <v>1163</v>
      </c>
      <c r="CK101" t="s">
        <v>1163</v>
      </c>
    </row>
    <row r="102" spans="3:89" ht="16.350000000000001" customHeight="1">
      <c r="V102" s="865" t="str">
        <f>('Translate&amp;Prices&amp;Logo'!$O$174)&amp;" "&amp;"-"&amp;" "&amp;('Translate&amp;Prices&amp;Logo'!$O$169)&amp;" "&amp;" "&amp;3</f>
        <v>Ilość sztuk - Ramka  3</v>
      </c>
      <c r="W102" s="865"/>
      <c r="X102" s="865"/>
      <c r="Y102" s="865"/>
      <c r="Z102" s="865"/>
      <c r="AA102" s="113"/>
      <c r="AB102" s="864">
        <f>Ram_3!$H$28</f>
        <v>0</v>
      </c>
      <c r="AC102" s="864"/>
      <c r="AD102" s="864"/>
      <c r="AE102" s="864"/>
      <c r="AF102" s="864"/>
      <c r="AG102" s="864"/>
      <c r="AH102" s="864"/>
      <c r="AI102" s="864"/>
      <c r="AJ102" s="864"/>
      <c r="AK102" s="864"/>
      <c r="AL102" s="864"/>
      <c r="AM102" s="864"/>
      <c r="AN102" s="864"/>
      <c r="AQ102" s="880"/>
      <c r="BL102" s="1" t="s">
        <v>318</v>
      </c>
      <c r="BM102" s="1" t="s">
        <v>256</v>
      </c>
      <c r="BR102" s="1" t="s">
        <v>993</v>
      </c>
      <c r="BS102" s="1" t="s">
        <v>250</v>
      </c>
      <c r="CJ102" s="307" t="s">
        <v>3139</v>
      </c>
      <c r="CK102" t="s">
        <v>2680</v>
      </c>
    </row>
    <row r="103" spans="3:89" ht="16.350000000000001" customHeight="1">
      <c r="AD103" s="1"/>
      <c r="AE103" s="1"/>
      <c r="AQ103" s="880"/>
      <c r="BL103" s="1" t="s">
        <v>1373</v>
      </c>
      <c r="BM103" s="1" t="s">
        <v>1425</v>
      </c>
      <c r="BR103" s="1" t="s">
        <v>994</v>
      </c>
      <c r="BS103" s="1" t="s">
        <v>251</v>
      </c>
      <c r="CJ103" s="307" t="s">
        <v>3140</v>
      </c>
      <c r="CK103" t="s">
        <v>2678</v>
      </c>
    </row>
    <row r="104" spans="3:89" ht="14.85" customHeight="1">
      <c r="AQ104" s="880"/>
      <c r="BL104" s="1" t="s">
        <v>1476</v>
      </c>
      <c r="BM104" s="1" t="s">
        <v>253</v>
      </c>
      <c r="BR104" s="191" t="s">
        <v>2436</v>
      </c>
      <c r="BS104" s="191" t="s">
        <v>2432</v>
      </c>
      <c r="CJ104" s="307" t="s">
        <v>1156</v>
      </c>
      <c r="CK104" t="s">
        <v>1156</v>
      </c>
    </row>
    <row r="105" spans="3:89" ht="14.85" customHeight="1">
      <c r="V105" s="870" t="s">
        <v>1725</v>
      </c>
      <c r="W105" s="870"/>
      <c r="X105" s="870"/>
      <c r="Y105" s="870"/>
      <c r="AD105" s="870" t="s">
        <v>1726</v>
      </c>
      <c r="AE105" s="870"/>
      <c r="AF105" s="870"/>
      <c r="AG105" s="870"/>
      <c r="AQ105" s="880"/>
      <c r="BL105" s="1" t="s">
        <v>1477</v>
      </c>
      <c r="BM105" s="1" t="s">
        <v>254</v>
      </c>
      <c r="BR105" s="191" t="s">
        <v>2437</v>
      </c>
      <c r="BS105" s="191" t="s">
        <v>2433</v>
      </c>
      <c r="CJ105" s="307" t="s">
        <v>3141</v>
      </c>
      <c r="CK105" t="s">
        <v>3118</v>
      </c>
    </row>
    <row r="106" spans="3:89" ht="14.85" customHeight="1">
      <c r="AD106" s="882"/>
      <c r="AE106" s="883"/>
      <c r="AF106" s="883"/>
      <c r="AG106" s="883"/>
      <c r="AH106" s="883"/>
      <c r="AI106" s="883"/>
      <c r="AJ106" s="883"/>
      <c r="AK106" s="883"/>
      <c r="AL106" s="883"/>
      <c r="AM106" s="884"/>
      <c r="AQ106" s="880"/>
      <c r="BL106" s="1" t="s">
        <v>1601</v>
      </c>
      <c r="BM106" s="1" t="s">
        <v>255</v>
      </c>
      <c r="BR106" s="191" t="s">
        <v>2438</v>
      </c>
      <c r="BS106" s="191" t="s">
        <v>2434</v>
      </c>
      <c r="CJ106" s="307" t="s">
        <v>3142</v>
      </c>
      <c r="CK106" t="s">
        <v>2681</v>
      </c>
    </row>
    <row r="107" spans="3:89" ht="14.85" customHeight="1">
      <c r="AD107" s="885"/>
      <c r="AE107" s="886"/>
      <c r="AF107" s="886"/>
      <c r="AG107" s="886"/>
      <c r="AH107" s="886"/>
      <c r="AI107" s="886"/>
      <c r="AJ107" s="886"/>
      <c r="AK107" s="886"/>
      <c r="AL107" s="886"/>
      <c r="AM107" s="887"/>
      <c r="AQ107" s="880"/>
      <c r="BL107" s="1" t="s">
        <v>1602</v>
      </c>
      <c r="BM107" s="1" t="s">
        <v>256</v>
      </c>
      <c r="BR107" s="191" t="s">
        <v>2439</v>
      </c>
      <c r="BS107" s="191" t="s">
        <v>2435</v>
      </c>
      <c r="CJ107" s="307" t="s">
        <v>3143</v>
      </c>
      <c r="CK107" t="s">
        <v>3220</v>
      </c>
    </row>
    <row r="108" spans="3:89" ht="14.85" customHeight="1">
      <c r="AD108" s="885"/>
      <c r="AE108" s="886"/>
      <c r="AF108" s="886"/>
      <c r="AG108" s="886"/>
      <c r="AH108" s="886"/>
      <c r="AI108" s="886"/>
      <c r="AJ108" s="886"/>
      <c r="AK108" s="886"/>
      <c r="AL108" s="886"/>
      <c r="AM108" s="887"/>
      <c r="AQ108" s="880"/>
      <c r="BL108" s="1" t="s">
        <v>1051</v>
      </c>
      <c r="BM108" s="1" t="s">
        <v>1425</v>
      </c>
      <c r="CJ108" s="307" t="s">
        <v>1165</v>
      </c>
      <c r="CK108" t="s">
        <v>1165</v>
      </c>
    </row>
    <row r="109" spans="3:89" ht="14.85" customHeight="1">
      <c r="C109" s="894">
        <f>IF(OR(Ram_3!$AC$25="x",Ram_3!$AJ$26="x",Ram_3!$AC$9="x",Ram_3!$AJ$7="x",Ram_3!$AB$16="x",Ram_3!$AM$23="x",Ram_3!$AN$19="x",Ram_3!$AD$10="x"),'Translate&amp;Prices&amp;Logo'!$B$588,0)</f>
        <v>0</v>
      </c>
      <c r="D109" s="894"/>
      <c r="E109" s="894"/>
      <c r="F109" s="894"/>
      <c r="G109" s="894"/>
      <c r="H109" s="894"/>
      <c r="I109" s="894"/>
      <c r="J109" s="894"/>
      <c r="K109" s="894"/>
      <c r="L109" s="894"/>
      <c r="M109" s="894"/>
      <c r="N109" s="894"/>
      <c r="O109" s="894"/>
      <c r="AD109" s="885"/>
      <c r="AE109" s="886"/>
      <c r="AF109" s="886"/>
      <c r="AG109" s="886"/>
      <c r="AH109" s="886"/>
      <c r="AI109" s="886"/>
      <c r="AJ109" s="886"/>
      <c r="AK109" s="886"/>
      <c r="AL109" s="886"/>
      <c r="AM109" s="887"/>
      <c r="AQ109" s="880"/>
      <c r="CJ109" s="307" t="s">
        <v>3144</v>
      </c>
      <c r="CK109" t="s">
        <v>3119</v>
      </c>
    </row>
    <row r="110" spans="3:89" ht="14.85" customHeight="1">
      <c r="AD110" s="885"/>
      <c r="AE110" s="886"/>
      <c r="AF110" s="886"/>
      <c r="AG110" s="886"/>
      <c r="AH110" s="886"/>
      <c r="AI110" s="886"/>
      <c r="AJ110" s="886"/>
      <c r="AK110" s="886"/>
      <c r="AL110" s="886"/>
      <c r="AM110" s="887"/>
      <c r="AQ110" s="880"/>
      <c r="CJ110" s="307" t="s">
        <v>3145</v>
      </c>
      <c r="CK110" t="s">
        <v>3221</v>
      </c>
    </row>
    <row r="111" spans="3:89" ht="14.85" customHeight="1" thickBot="1">
      <c r="AD111" s="885"/>
      <c r="AE111" s="886"/>
      <c r="AF111" s="886"/>
      <c r="AG111" s="886"/>
      <c r="AH111" s="886"/>
      <c r="AI111" s="886"/>
      <c r="AJ111" s="886"/>
      <c r="AK111" s="886"/>
      <c r="AL111" s="886"/>
      <c r="AM111" s="887"/>
      <c r="AQ111" s="880"/>
      <c r="CJ111" s="307" t="s">
        <v>3146</v>
      </c>
      <c r="CK111" t="s">
        <v>3222</v>
      </c>
    </row>
    <row r="112" spans="3:89" ht="14.85" customHeight="1" thickBot="1">
      <c r="F112" s="871" t="str">
        <f>'Translate&amp;Prices&amp;Logo'!$O$175</f>
        <v>Szerokość</v>
      </c>
      <c r="G112" s="872">
        <f>Ram_1!AG102</f>
        <v>0</v>
      </c>
      <c r="H112" s="872">
        <f>Ram_1!AH102</f>
        <v>0</v>
      </c>
      <c r="I112" s="873">
        <f>Ram_3!AI30</f>
        <v>0</v>
      </c>
      <c r="J112" s="873">
        <f>Ram_1!AJ102</f>
        <v>0</v>
      </c>
      <c r="K112" s="874">
        <f>Ram_1!AK102</f>
        <v>0</v>
      </c>
      <c r="AD112" s="885"/>
      <c r="AE112" s="886"/>
      <c r="AF112" s="886"/>
      <c r="AG112" s="886"/>
      <c r="AH112" s="886"/>
      <c r="AI112" s="886"/>
      <c r="AJ112" s="886"/>
      <c r="AK112" s="886"/>
      <c r="AL112" s="886"/>
      <c r="AM112" s="887"/>
      <c r="AQ112" s="880"/>
      <c r="CJ112" s="307" t="s">
        <v>3147</v>
      </c>
      <c r="CK112" t="s">
        <v>3120</v>
      </c>
    </row>
    <row r="113" spans="1:89" ht="21" customHeight="1">
      <c r="AD113" s="888"/>
      <c r="AE113" s="889"/>
      <c r="AF113" s="889"/>
      <c r="AG113" s="889"/>
      <c r="AH113" s="889"/>
      <c r="AI113" s="889"/>
      <c r="AJ113" s="889"/>
      <c r="AK113" s="889"/>
      <c r="AL113" s="889"/>
      <c r="AM113" s="890"/>
      <c r="AQ113" s="880"/>
      <c r="CJ113" s="307" t="s">
        <v>3148</v>
      </c>
      <c r="CK113" t="s">
        <v>3121</v>
      </c>
    </row>
    <row r="114" spans="1:89" ht="14.85" customHeight="1">
      <c r="AQ114" s="880"/>
    </row>
    <row r="115" spans="1:89" ht="14.85" customHeight="1">
      <c r="AQ115" s="880"/>
    </row>
    <row r="116" spans="1:89"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181"/>
      <c r="AE116" s="182"/>
      <c r="AF116" s="30"/>
      <c r="AG116" s="30"/>
      <c r="AH116" s="30"/>
      <c r="AI116" s="30"/>
      <c r="AJ116" s="30"/>
      <c r="AK116" s="30"/>
      <c r="AL116" s="30"/>
      <c r="AM116" s="30"/>
      <c r="AN116" s="30"/>
      <c r="AO116" s="30"/>
      <c r="AP116" s="30"/>
      <c r="AQ116" s="30"/>
    </row>
    <row r="117" spans="1:89" ht="35.1" customHeight="1" thickBot="1">
      <c r="I117" s="178"/>
      <c r="J117" s="178"/>
      <c r="K117" s="178"/>
      <c r="L117" s="178"/>
      <c r="M117" s="178"/>
      <c r="N117" s="178"/>
      <c r="O117" s="178"/>
      <c r="P117" s="178"/>
      <c r="Q117" s="178"/>
      <c r="R117" s="178"/>
      <c r="S117" s="178"/>
      <c r="T117" s="178"/>
      <c r="U117" s="178"/>
      <c r="V117" s="869" t="str">
        <f>'Translate&amp;Prices&amp;Logo'!$O$256</f>
        <v>Numer zamówienia</v>
      </c>
      <c r="W117" s="869"/>
      <c r="X117" s="869"/>
      <c r="Y117" s="869"/>
      <c r="Z117" s="869"/>
      <c r="AA117" s="113"/>
      <c r="AB117" s="866"/>
      <c r="AC117" s="867"/>
      <c r="AD117" s="867"/>
      <c r="AE117" s="867"/>
      <c r="AF117" s="867"/>
      <c r="AG117" s="867"/>
      <c r="AH117" s="867"/>
      <c r="AI117" s="867"/>
      <c r="AJ117" s="867"/>
      <c r="AK117" s="867"/>
      <c r="AL117" s="867"/>
      <c r="AM117" s="867"/>
      <c r="AN117" s="868"/>
      <c r="AQ117" s="880" t="s">
        <v>1730</v>
      </c>
    </row>
    <row r="118" spans="1:89" ht="16.350000000000001" customHeight="1">
      <c r="V118" s="865" t="str">
        <f>'Translate&amp;Prices&amp;Logo'!$O$542</f>
        <v>Połączenie 2 profili</v>
      </c>
      <c r="W118" s="865"/>
      <c r="X118" s="865"/>
      <c r="Y118" s="865"/>
      <c r="Z118" s="865"/>
      <c r="AA118" s="113"/>
      <c r="AB118" s="879" t="str">
        <f>IF(kombinace_4!$H$1=TRUE,"Tak","Nie")</f>
        <v>Nie</v>
      </c>
      <c r="AC118" s="879"/>
      <c r="AD118" s="879"/>
      <c r="AE118" s="879"/>
      <c r="AF118" s="879"/>
      <c r="AG118" s="879"/>
      <c r="AH118" s="879"/>
      <c r="AI118" s="879"/>
      <c r="AJ118" s="879"/>
      <c r="AK118" s="879"/>
      <c r="AL118" s="879"/>
      <c r="AM118" s="879"/>
      <c r="AN118" s="879"/>
      <c r="AQ118" s="880"/>
    </row>
    <row r="119" spans="1:89" ht="16.350000000000001" customHeight="1">
      <c r="V119" s="865" t="str">
        <f>'Translate&amp;Prices&amp;Logo'!$O$172</f>
        <v>Rodzaj profilu</v>
      </c>
      <c r="W119" s="865"/>
      <c r="X119" s="865"/>
      <c r="Y119" s="865"/>
      <c r="Z119" s="865"/>
      <c r="AA119" s="113"/>
      <c r="AB119" s="864">
        <f>IFERROR(VLOOKUP(Ram_4!$H$8,'Translate&amp;Prices&amp;Logo'!AA:AB,2,0),Ram_4!$H$8)</f>
        <v>0</v>
      </c>
      <c r="AC119" s="864"/>
      <c r="AD119" s="864"/>
      <c r="AE119" s="864"/>
      <c r="AF119" s="864"/>
      <c r="AG119" s="864"/>
      <c r="AH119" s="864"/>
      <c r="AI119" s="864"/>
      <c r="AJ119" s="864"/>
      <c r="AK119" s="864"/>
      <c r="AL119" s="864"/>
      <c r="AM119" s="864"/>
      <c r="AN119" s="864"/>
      <c r="AQ119" s="880"/>
    </row>
    <row r="120" spans="1:89" ht="16.350000000000001" customHeight="1">
      <c r="V120" s="865" t="str">
        <f>'Translate&amp;Prices&amp;Logo'!$O$543</f>
        <v>Szprosy</v>
      </c>
      <c r="W120" s="865"/>
      <c r="X120" s="865"/>
      <c r="Y120" s="865"/>
      <c r="Z120" s="865"/>
      <c r="AA120" s="113"/>
      <c r="AB120" s="864" t="str">
        <f>IFERROR(VLOOKUP(Ram_4!$AU$10,AT120:AU123,2,0),0)</f>
        <v>Nie</v>
      </c>
      <c r="AC120" s="864"/>
      <c r="AD120" s="864"/>
      <c r="AE120" s="864"/>
      <c r="AF120" s="864"/>
      <c r="AG120" s="864"/>
      <c r="AH120" s="864"/>
      <c r="AI120" s="864"/>
      <c r="AJ120" s="864"/>
      <c r="AK120" s="864"/>
      <c r="AL120" s="864"/>
      <c r="AM120" s="864"/>
      <c r="AN120" s="864"/>
      <c r="AQ120" s="880"/>
      <c r="AT120">
        <v>0</v>
      </c>
      <c r="AU120" t="str">
        <f>'Translate&amp;Prices&amp;Logo'!$O$557</f>
        <v>Nie</v>
      </c>
      <c r="AY120">
        <v>2</v>
      </c>
      <c r="AZ120" t="str">
        <f>'Translate&amp;Prices&amp;Logo'!$O$551</f>
        <v>Zawiasy</v>
      </c>
      <c r="BC120" s="1" t="s">
        <v>69</v>
      </c>
      <c r="BD120" s="1" t="s">
        <v>222</v>
      </c>
      <c r="BH120" s="1" t="s">
        <v>52</v>
      </c>
      <c r="BI120" s="1" t="s">
        <v>216</v>
      </c>
      <c r="BL120" s="1" t="s">
        <v>107</v>
      </c>
      <c r="BM120" s="1" t="s">
        <v>253</v>
      </c>
      <c r="BR120" s="1" t="s">
        <v>113</v>
      </c>
      <c r="BS120" s="1" t="s">
        <v>1239</v>
      </c>
      <c r="BW120" s="1">
        <v>1</v>
      </c>
      <c r="BX120" s="1" t="str">
        <f>'Translate&amp;Prices&amp;Logo'!$O$100</f>
        <v>Bez modyfikacji</v>
      </c>
      <c r="BZ120" t="s">
        <v>1039</v>
      </c>
      <c r="CA120" t="s">
        <v>1439</v>
      </c>
    </row>
    <row r="121" spans="1:89" ht="16.350000000000001" customHeight="1">
      <c r="V121" s="183"/>
      <c r="W121" s="183"/>
      <c r="X121" s="183"/>
      <c r="Y121" s="183"/>
      <c r="Z121" s="183"/>
      <c r="AA121" s="113"/>
      <c r="AB121" s="881" t="str">
        <f>'Translate&amp;Prices&amp;Logo'!$O$558</f>
        <v>Poziomo (termin dostawy 4 tygodnie)</v>
      </c>
      <c r="AC121" s="881"/>
      <c r="AD121" s="881"/>
      <c r="AE121" s="881"/>
      <c r="AF121" s="881"/>
      <c r="AG121" s="881"/>
      <c r="AH121" s="881"/>
      <c r="AI121" s="881" t="str">
        <f>'Translate&amp;Prices&amp;Logo'!$O$559</f>
        <v>Pionowo (termin dostawy 4 tygodnie)</v>
      </c>
      <c r="AJ121" s="881"/>
      <c r="AK121" s="881"/>
      <c r="AL121" s="881"/>
      <c r="AM121" s="881"/>
      <c r="AN121" s="881"/>
      <c r="AQ121" s="880"/>
      <c r="AT121">
        <v>1</v>
      </c>
      <c r="AU121" t="str">
        <f>'Translate&amp;Prices&amp;Logo'!$O$558</f>
        <v>Poziomo (termin dostawy 4 tygodnie)</v>
      </c>
      <c r="AY121">
        <v>3</v>
      </c>
      <c r="AZ121" t="str">
        <f>'Translate&amp;Prices&amp;Logo'!$O$552</f>
        <v>Podnośniki</v>
      </c>
      <c r="BC121" s="1" t="s">
        <v>70</v>
      </c>
      <c r="BD121" s="1" t="s">
        <v>223</v>
      </c>
      <c r="BH121" s="1" t="s">
        <v>51</v>
      </c>
      <c r="BI121" s="1" t="s">
        <v>217</v>
      </c>
      <c r="BL121" s="1" t="s">
        <v>108</v>
      </c>
      <c r="BM121" s="1" t="s">
        <v>254</v>
      </c>
      <c r="BR121" s="1" t="s">
        <v>114</v>
      </c>
      <c r="BS121" s="1" t="s">
        <v>1424</v>
      </c>
      <c r="BW121" s="1">
        <v>2</v>
      </c>
      <c r="BX121" s="1" t="str">
        <f>'Translate&amp;Prices&amp;Logo'!$O$101</f>
        <v>Hartowane</v>
      </c>
      <c r="BZ121" t="s">
        <v>1042</v>
      </c>
      <c r="CA121" t="s">
        <v>1440</v>
      </c>
    </row>
    <row r="122" spans="1:89" ht="16.350000000000001" customHeight="1">
      <c r="V122" s="865" t="str">
        <f>('Translate&amp;Prices&amp;Logo'!$O$543)&amp;" "&amp;"("&amp;'Translate&amp;Prices&amp;Logo'!$O$174&amp;")"</f>
        <v>Szprosy (Ilość sztuk)</v>
      </c>
      <c r="W122" s="865"/>
      <c r="X122" s="865"/>
      <c r="Y122" s="865"/>
      <c r="Z122" s="865"/>
      <c r="AA122" s="113"/>
      <c r="AB122" s="864">
        <f>Ram_4!$H$11</f>
        <v>0</v>
      </c>
      <c r="AC122" s="864"/>
      <c r="AD122" s="864"/>
      <c r="AE122" s="864"/>
      <c r="AF122" s="864"/>
      <c r="AG122" s="864"/>
      <c r="AH122" s="864"/>
      <c r="AI122" s="864">
        <f>Ram_4!$M$11</f>
        <v>0</v>
      </c>
      <c r="AJ122" s="864"/>
      <c r="AK122" s="864"/>
      <c r="AL122" s="864"/>
      <c r="AM122" s="864"/>
      <c r="AN122" s="864"/>
      <c r="AQ122" s="880"/>
      <c r="AT122">
        <v>2</v>
      </c>
      <c r="AU122" t="str">
        <f>'Translate&amp;Prices&amp;Logo'!$O$559</f>
        <v>Pionowo (termin dostawy 4 tygodnie)</v>
      </c>
      <c r="BC122" s="1" t="s">
        <v>71</v>
      </c>
      <c r="BD122" s="1" t="s">
        <v>1254</v>
      </c>
      <c r="BH122" s="1" t="s">
        <v>160</v>
      </c>
      <c r="BI122" s="1" t="s">
        <v>216</v>
      </c>
      <c r="BL122" s="1" t="s">
        <v>110</v>
      </c>
      <c r="BM122" s="1" t="s">
        <v>255</v>
      </c>
      <c r="BR122" s="1" t="s">
        <v>104</v>
      </c>
      <c r="BS122" s="1" t="s">
        <v>250</v>
      </c>
      <c r="BW122" s="1">
        <v>3</v>
      </c>
      <c r="BX122" s="1" t="str">
        <f>'Translate&amp;Prices&amp;Logo'!$O$102</f>
        <v>Folia</v>
      </c>
      <c r="BZ122" t="s">
        <v>1045</v>
      </c>
      <c r="CA122" t="s">
        <v>1441</v>
      </c>
    </row>
    <row r="123" spans="1:89" ht="16.350000000000001" customHeight="1">
      <c r="V123" s="865" t="str">
        <f>'Translate&amp;Prices&amp;Logo'!$O$258</f>
        <v>Typ okucia</v>
      </c>
      <c r="W123" s="865"/>
      <c r="X123" s="865"/>
      <c r="Y123" s="865"/>
      <c r="Z123" s="865"/>
      <c r="AA123" s="113"/>
      <c r="AB123" s="864">
        <f>IFERROR(VLOOKUP(Ram_4!$AU$9,AY120:AZ121,2,0),0)</f>
        <v>0</v>
      </c>
      <c r="AC123" s="864"/>
      <c r="AD123" s="864"/>
      <c r="AE123" s="864"/>
      <c r="AF123" s="864"/>
      <c r="AG123" s="864"/>
      <c r="AH123" s="864"/>
      <c r="AI123" s="864"/>
      <c r="AJ123" s="864"/>
      <c r="AK123" s="864"/>
      <c r="AL123" s="864"/>
      <c r="AM123" s="864"/>
      <c r="AN123" s="864"/>
      <c r="AQ123" s="880"/>
      <c r="AT123">
        <v>3</v>
      </c>
      <c r="AU123" t="str">
        <f>'Translate&amp;Prices&amp;Logo'!$O$560</f>
        <v>Poziomo i pionowo (termin dostawy 4 tygodnie)</v>
      </c>
      <c r="BC123" s="1" t="s">
        <v>69</v>
      </c>
      <c r="BD123" s="1" t="s">
        <v>222</v>
      </c>
      <c r="BH123" s="1" t="s">
        <v>161</v>
      </c>
      <c r="BI123" s="1" t="s">
        <v>217</v>
      </c>
      <c r="BL123" s="1" t="s">
        <v>109</v>
      </c>
      <c r="BM123" s="1" t="s">
        <v>256</v>
      </c>
      <c r="BR123" s="1" t="s">
        <v>103</v>
      </c>
      <c r="BS123" s="1" t="s">
        <v>251</v>
      </c>
      <c r="BZ123" t="s">
        <v>1328</v>
      </c>
      <c r="CA123" t="s">
        <v>1439</v>
      </c>
    </row>
    <row r="124" spans="1:89" ht="16.350000000000001" customHeight="1">
      <c r="V124" s="865" t="str">
        <f>'Translate&amp;Prices&amp;Logo'!$O$544</f>
        <v>Marka okucia</v>
      </c>
      <c r="W124" s="865"/>
      <c r="X124" s="865"/>
      <c r="Y124" s="865"/>
      <c r="Z124" s="865"/>
      <c r="AA124" s="113"/>
      <c r="AB124" s="864">
        <f>Ram_4!$H$13</f>
        <v>0</v>
      </c>
      <c r="AC124" s="864"/>
      <c r="AD124" s="864"/>
      <c r="AE124" s="864"/>
      <c r="AF124" s="864"/>
      <c r="AG124" s="864"/>
      <c r="AH124" s="864"/>
      <c r="AI124" s="864"/>
      <c r="AJ124" s="864"/>
      <c r="AK124" s="864"/>
      <c r="AL124" s="864"/>
      <c r="AM124" s="864"/>
      <c r="AN124" s="864"/>
      <c r="AQ124" s="880"/>
      <c r="BC124" s="1" t="s">
        <v>70</v>
      </c>
      <c r="BD124" s="1" t="s">
        <v>223</v>
      </c>
      <c r="BH124" s="1" t="s">
        <v>410</v>
      </c>
      <c r="BI124" s="1" t="s">
        <v>216</v>
      </c>
      <c r="BL124" s="1" t="s">
        <v>111</v>
      </c>
      <c r="BM124" s="1" t="s">
        <v>1425</v>
      </c>
      <c r="BR124" s="1" t="s">
        <v>1241</v>
      </c>
      <c r="BS124" s="1" t="s">
        <v>1239</v>
      </c>
      <c r="BZ124" t="s">
        <v>1329</v>
      </c>
      <c r="CA124" t="s">
        <v>1440</v>
      </c>
    </row>
    <row r="125" spans="1:89" ht="16.350000000000001" customHeight="1" thickBot="1">
      <c r="V125" s="865" t="str">
        <f>'Translate&amp;Prices&amp;Logo'!$O$546</f>
        <v>Nałożenie</v>
      </c>
      <c r="W125" s="865"/>
      <c r="X125" s="865"/>
      <c r="Y125" s="865"/>
      <c r="Z125" s="865"/>
      <c r="AA125" s="113"/>
      <c r="AB125" s="864">
        <f>IFERROR(VLOOKUP(Ram_4!$H$14,BC120:BD134,2,0),0)</f>
        <v>0</v>
      </c>
      <c r="AC125" s="864"/>
      <c r="AD125" s="864"/>
      <c r="AE125" s="864"/>
      <c r="AF125" s="864"/>
      <c r="AG125" s="864"/>
      <c r="AH125" s="864"/>
      <c r="AI125" s="864"/>
      <c r="AJ125" s="864"/>
      <c r="AK125" s="864"/>
      <c r="AL125" s="864"/>
      <c r="AM125" s="864"/>
      <c r="AN125" s="864"/>
      <c r="AQ125" s="880"/>
      <c r="BC125" s="1" t="s">
        <v>71</v>
      </c>
      <c r="BD125" s="1" t="s">
        <v>1254</v>
      </c>
      <c r="BH125" s="1" t="s">
        <v>283</v>
      </c>
      <c r="BI125" s="1" t="s">
        <v>217</v>
      </c>
      <c r="BL125" s="1" t="s">
        <v>193</v>
      </c>
      <c r="BM125" s="1" t="s">
        <v>253</v>
      </c>
      <c r="BR125" s="1" t="s">
        <v>114</v>
      </c>
      <c r="BS125" s="1" t="s">
        <v>1424</v>
      </c>
      <c r="BZ125" t="s">
        <v>1330</v>
      </c>
      <c r="CA125" t="s">
        <v>1441</v>
      </c>
    </row>
    <row r="126" spans="1:89" ht="16.350000000000001" customHeight="1">
      <c r="R126" s="875">
        <f>Ram_4!AR14</f>
        <v>0</v>
      </c>
      <c r="V126" s="865" t="str">
        <f>'Translate&amp;Prices&amp;Logo'!$O$545</f>
        <v>Wariant okucia</v>
      </c>
      <c r="W126" s="865"/>
      <c r="X126" s="865"/>
      <c r="Y126" s="865"/>
      <c r="Z126" s="865"/>
      <c r="AA126" s="113"/>
      <c r="AB126" s="864">
        <f>IFERROR(VLOOKUP(Ram_4!$H$15,kombinace_1!$ED:$EE,2,0),Ram_4!$H$15)</f>
        <v>0</v>
      </c>
      <c r="AC126" s="864"/>
      <c r="AD126" s="864"/>
      <c r="AE126" s="864"/>
      <c r="AF126" s="864"/>
      <c r="AG126" s="864"/>
      <c r="AH126" s="864" t="str">
        <f>IF(AB126='Translate&amp;Prices&amp;Logo'!C698,VLOOKUP(Ram_4!H17,'Translate&amp;Prices&amp;Logo'!C699:D718,2,0),"")</f>
        <v/>
      </c>
      <c r="AI126" s="864"/>
      <c r="AJ126" s="864"/>
      <c r="AK126" s="864"/>
      <c r="AL126" s="864"/>
      <c r="AM126" s="864"/>
      <c r="AN126" s="864"/>
      <c r="AQ126" s="880"/>
      <c r="BC126" s="1" t="s">
        <v>222</v>
      </c>
      <c r="BD126" s="1" t="s">
        <v>222</v>
      </c>
      <c r="BH126" s="1" t="s">
        <v>1468</v>
      </c>
      <c r="BI126" s="1" t="s">
        <v>216</v>
      </c>
      <c r="BL126" s="1" t="s">
        <v>194</v>
      </c>
      <c r="BM126" s="1" t="s">
        <v>254</v>
      </c>
      <c r="BR126" s="1" t="s">
        <v>189</v>
      </c>
      <c r="BS126" s="1" t="s">
        <v>250</v>
      </c>
      <c r="BZ126" t="s">
        <v>1439</v>
      </c>
      <c r="CA126" t="s">
        <v>1439</v>
      </c>
    </row>
    <row r="127" spans="1:89" ht="16.350000000000001" customHeight="1">
      <c r="R127" s="876">
        <f>Ram_1!AR123</f>
        <v>0</v>
      </c>
      <c r="V127" s="865" t="str">
        <f>'Translate&amp;Prices&amp;Logo'!$O$218</f>
        <v>Wybierz pozycję ramki</v>
      </c>
      <c r="W127" s="865"/>
      <c r="X127" s="865"/>
      <c r="Y127" s="865"/>
      <c r="Z127" s="865"/>
      <c r="AA127" s="864">
        <f>IFERROR(VLOOKUP(Ram_4!$F$16,BH120:BI129,2,0),0)</f>
        <v>0</v>
      </c>
      <c r="AB127" s="864"/>
      <c r="AC127" s="864"/>
      <c r="AD127" s="864"/>
      <c r="AE127" s="864"/>
      <c r="AF127" s="865" t="str">
        <f>'Translate&amp;Prices&amp;Logo'!$O$232</f>
        <v>Rodzaj drugiej ramki</v>
      </c>
      <c r="AG127" s="865"/>
      <c r="AH127" s="865"/>
      <c r="AI127" s="865"/>
      <c r="AJ127" s="865"/>
      <c r="AK127" s="864">
        <f>IFERROR(VLOOKUP(Ram_4!$N$16,BL120:BM144,2,0),0)</f>
        <v>0</v>
      </c>
      <c r="AL127" s="864"/>
      <c r="AM127" s="864"/>
      <c r="AN127" s="864"/>
      <c r="AQ127" s="880"/>
      <c r="BC127" s="1" t="s">
        <v>223</v>
      </c>
      <c r="BD127" s="1" t="s">
        <v>223</v>
      </c>
      <c r="BH127" s="1" t="s">
        <v>1469</v>
      </c>
      <c r="BI127" s="1" t="s">
        <v>217</v>
      </c>
      <c r="BL127" s="1" t="s">
        <v>195</v>
      </c>
      <c r="BM127" s="1" t="s">
        <v>255</v>
      </c>
      <c r="BR127" s="1" t="s">
        <v>190</v>
      </c>
      <c r="BS127" s="1" t="s">
        <v>251</v>
      </c>
      <c r="BZ127" t="s">
        <v>1440</v>
      </c>
      <c r="CA127" t="s">
        <v>1440</v>
      </c>
    </row>
    <row r="128" spans="1:89" ht="16.350000000000001" customHeight="1">
      <c r="R128" s="876">
        <f>Ram_1!AR124</f>
        <v>0</v>
      </c>
      <c r="V128" s="865" t="str">
        <f>IF(AB123='Translate&amp;Prices&amp;Logo'!O551,'Translate&amp;Prices&amp;Logo'!O238,'Translate&amp;Prices&amp;Logo'!$O$226)</f>
        <v>Umieszczenie</v>
      </c>
      <c r="W128" s="865"/>
      <c r="X128" s="865"/>
      <c r="Y128" s="865"/>
      <c r="Z128" s="865"/>
      <c r="AA128" s="113"/>
      <c r="AB128" s="864" t="str">
        <f>IFERROR((IF(Ram_4!H12='Translate&amp;Prices&amp;Logo'!B552,VLOOKUP(Ram_4!$N$16,BR48:BS67,2,0),VLOOKUP(Ram_4!$H$17,BR48:BS67,2,0))),"")</f>
        <v/>
      </c>
      <c r="AC128" s="864"/>
      <c r="AD128" s="864"/>
      <c r="AE128" s="864"/>
      <c r="AF128" s="864"/>
      <c r="AG128" s="864"/>
      <c r="AH128" s="864"/>
      <c r="AI128" s="864"/>
      <c r="AJ128" s="864"/>
      <c r="AK128" s="864"/>
      <c r="AL128" s="864"/>
      <c r="AM128" s="864"/>
      <c r="AN128" s="864"/>
      <c r="AQ128" s="880"/>
      <c r="BC128" s="1" t="s">
        <v>1254</v>
      </c>
      <c r="BD128" s="1" t="s">
        <v>1254</v>
      </c>
      <c r="BH128" s="1" t="s">
        <v>216</v>
      </c>
      <c r="BI128" s="1" t="s">
        <v>216</v>
      </c>
      <c r="BL128" s="1" t="s">
        <v>196</v>
      </c>
      <c r="BM128" s="1" t="s">
        <v>256</v>
      </c>
      <c r="BR128" s="1" t="s">
        <v>1239</v>
      </c>
      <c r="BS128" s="1" t="s">
        <v>1239</v>
      </c>
      <c r="BZ128" t="s">
        <v>1441</v>
      </c>
      <c r="CA128" t="s">
        <v>1441</v>
      </c>
    </row>
    <row r="129" spans="18:79" ht="16.350000000000001" customHeight="1">
      <c r="R129" s="876">
        <f>Ram_1!AR125</f>
        <v>0</v>
      </c>
      <c r="V129" s="865" t="str">
        <f>'Translate&amp;Prices&amp;Logo'!$O$547</f>
        <v>Zawiasy do podnośników</v>
      </c>
      <c r="W129" s="865"/>
      <c r="X129" s="865"/>
      <c r="Y129" s="865"/>
      <c r="Z129" s="865"/>
      <c r="AA129" s="113"/>
      <c r="AB129" s="864" t="str">
        <f>IFERROR((VLOOKUP(Ram_4!$H$18,CJ:CK,2,0)),"")</f>
        <v/>
      </c>
      <c r="AC129" s="864"/>
      <c r="AD129" s="864"/>
      <c r="AE129" s="864"/>
      <c r="AF129" s="864"/>
      <c r="AG129" s="864"/>
      <c r="AH129" s="864"/>
      <c r="AI129" s="864"/>
      <c r="AJ129" s="864"/>
      <c r="AK129" s="864"/>
      <c r="AL129" s="864"/>
      <c r="AM129" s="864"/>
      <c r="AN129" s="864"/>
      <c r="AQ129" s="880"/>
      <c r="BC129" s="1" t="s">
        <v>286</v>
      </c>
      <c r="BD129" s="1" t="s">
        <v>222</v>
      </c>
      <c r="BH129" s="1" t="s">
        <v>217</v>
      </c>
      <c r="BI129" s="1" t="s">
        <v>217</v>
      </c>
      <c r="BL129" s="1" t="s">
        <v>197</v>
      </c>
      <c r="BM129" s="1" t="s">
        <v>1425</v>
      </c>
      <c r="BR129" s="1" t="s">
        <v>1424</v>
      </c>
      <c r="BS129" s="1" t="s">
        <v>1424</v>
      </c>
      <c r="BZ129" t="s">
        <v>1331</v>
      </c>
      <c r="CA129" t="s">
        <v>1439</v>
      </c>
    </row>
    <row r="130" spans="18:79" ht="16.350000000000001" customHeight="1">
      <c r="R130" s="876">
        <f>Ram_1!AR126</f>
        <v>0</v>
      </c>
      <c r="V130" s="865" t="str">
        <f>'Translate&amp;Prices&amp;Logo'!$O$223</f>
        <v>Ilość zawiasów na 1 ramkę</v>
      </c>
      <c r="W130" s="865"/>
      <c r="X130" s="865"/>
      <c r="Y130" s="865"/>
      <c r="Z130" s="865"/>
      <c r="AA130" s="113"/>
      <c r="AB130" s="864">
        <f>Ram_4!$H$19</f>
        <v>0</v>
      </c>
      <c r="AC130" s="864"/>
      <c r="AD130" s="864"/>
      <c r="AE130" s="864"/>
      <c r="AF130" s="864"/>
      <c r="AG130" s="864"/>
      <c r="AH130" s="864"/>
      <c r="AI130" s="864"/>
      <c r="AJ130" s="864"/>
      <c r="AK130" s="864"/>
      <c r="AL130" s="864"/>
      <c r="AM130" s="864"/>
      <c r="AN130" s="864"/>
      <c r="AQ130" s="880"/>
      <c r="BC130" s="1" t="s">
        <v>287</v>
      </c>
      <c r="BD130" s="1" t="s">
        <v>223</v>
      </c>
      <c r="BL130" s="1" t="s">
        <v>253</v>
      </c>
      <c r="BM130" s="1" t="s">
        <v>253</v>
      </c>
      <c r="BR130" s="1" t="s">
        <v>250</v>
      </c>
      <c r="BS130" s="1" t="s">
        <v>250</v>
      </c>
      <c r="BZ130" t="s">
        <v>1414</v>
      </c>
      <c r="CA130" t="s">
        <v>1440</v>
      </c>
    </row>
    <row r="131" spans="18:79" ht="16.350000000000001" customHeight="1">
      <c r="R131" s="877" t="str">
        <f>'Translate&amp;Prices&amp;Logo'!$O$176</f>
        <v>Wysokość</v>
      </c>
      <c r="V131" s="865" t="e">
        <f>'Translate&amp;Prices&amp;Logo'!$O$242&amp;" "&amp;VLOOKUP(Ram_4!H17,kombinace_1!$BY$32:$CC$35,5,0)</f>
        <v>#N/A</v>
      </c>
      <c r="W131" s="865"/>
      <c r="X131" s="865"/>
      <c r="Y131" s="865"/>
      <c r="Z131" s="865"/>
      <c r="AA131" s="864">
        <f>Ram_4!$F$20</f>
        <v>100</v>
      </c>
      <c r="AB131" s="864"/>
      <c r="AC131" s="864"/>
      <c r="AD131" s="864"/>
      <c r="AE131" s="864"/>
      <c r="AF131" s="865" t="e">
        <f>'Translate&amp;Prices&amp;Logo'!$O$242&amp;" "&amp;VLOOKUP(Ram_4!H17,kombinace_1!$BY$32:$CD$35,6,0)</f>
        <v>#N/A</v>
      </c>
      <c r="AG131" s="865"/>
      <c r="AH131" s="865"/>
      <c r="AI131" s="865"/>
      <c r="AJ131" s="865"/>
      <c r="AK131" s="864">
        <f>Ram_4!$N$20</f>
        <v>100</v>
      </c>
      <c r="AL131" s="864"/>
      <c r="AM131" s="864"/>
      <c r="AN131" s="864"/>
      <c r="AQ131" s="880"/>
      <c r="BC131" s="1" t="s">
        <v>288</v>
      </c>
      <c r="BD131" s="1" t="s">
        <v>1254</v>
      </c>
      <c r="BL131" s="1" t="s">
        <v>254</v>
      </c>
      <c r="BM131" s="1" t="s">
        <v>254</v>
      </c>
      <c r="BR131" s="1" t="s">
        <v>251</v>
      </c>
      <c r="BS131" s="1" t="s">
        <v>251</v>
      </c>
      <c r="BZ131" t="s">
        <v>1332</v>
      </c>
      <c r="CA131" t="s">
        <v>1441</v>
      </c>
    </row>
    <row r="132" spans="18:79" ht="16.350000000000001" customHeight="1">
      <c r="R132" s="877">
        <f>Ram_1!AR128</f>
        <v>0</v>
      </c>
      <c r="V132" s="308" t="str">
        <f>'Translate&amp;Prices&amp;Logo'!$O$653</f>
        <v>Wypełnienie z siatki</v>
      </c>
      <c r="W132" s="183"/>
      <c r="X132" s="183"/>
      <c r="Y132" s="183"/>
      <c r="Z132" s="183"/>
      <c r="AA132" s="113"/>
      <c r="AB132" s="863" t="str">
        <f>IF(kombinace_4!FC2=TRUE,"Tak","Nie")</f>
        <v>Nie</v>
      </c>
      <c r="AC132" s="863"/>
      <c r="AD132" s="863"/>
      <c r="AE132" s="863"/>
      <c r="AF132" s="863"/>
      <c r="AG132" s="863"/>
      <c r="AH132" s="863"/>
      <c r="AI132" s="863"/>
      <c r="AJ132" s="863"/>
      <c r="AK132" s="863"/>
      <c r="AL132" s="863"/>
      <c r="AM132" s="863"/>
      <c r="AN132" s="863"/>
      <c r="AQ132" s="880"/>
      <c r="BC132" s="1" t="s">
        <v>1716</v>
      </c>
      <c r="BD132" s="1" t="s">
        <v>222</v>
      </c>
      <c r="BL132" s="1" t="s">
        <v>255</v>
      </c>
      <c r="BM132" s="1" t="s">
        <v>255</v>
      </c>
      <c r="BR132" s="1" t="s">
        <v>1240</v>
      </c>
      <c r="BS132" s="1" t="s">
        <v>1239</v>
      </c>
      <c r="BZ132" t="s">
        <v>1520</v>
      </c>
      <c r="CA132" t="s">
        <v>1439</v>
      </c>
    </row>
    <row r="133" spans="18:79" ht="16.350000000000001" customHeight="1">
      <c r="R133" s="877">
        <f>Ram_1!AR129</f>
        <v>0</v>
      </c>
      <c r="V133" s="865" t="str">
        <f>'Translate&amp;Prices&amp;Logo'!$O$173</f>
        <v>Rodzaj szkła</v>
      </c>
      <c r="W133" s="865"/>
      <c r="X133" s="865"/>
      <c r="Y133" s="865"/>
      <c r="Z133" s="865"/>
      <c r="AA133" s="113"/>
      <c r="AB133" s="864" t="str">
        <f>IFERROR(VLOOKUP(kombinace_4!$V$1,BW120:BX122,2,0),0)</f>
        <v>Bez modyfikacji</v>
      </c>
      <c r="AC133" s="864"/>
      <c r="AD133" s="864"/>
      <c r="AE133" s="864"/>
      <c r="AF133" s="864"/>
      <c r="AG133" s="864"/>
      <c r="AH133" s="864"/>
      <c r="AI133" s="864"/>
      <c r="AJ133" s="864"/>
      <c r="AK133" s="864"/>
      <c r="AL133" s="864"/>
      <c r="AM133" s="864"/>
      <c r="AN133" s="864"/>
      <c r="AQ133" s="880"/>
      <c r="BC133" s="1" t="s">
        <v>1573</v>
      </c>
      <c r="BD133" s="1" t="s">
        <v>223</v>
      </c>
      <c r="BL133" s="1" t="s">
        <v>256</v>
      </c>
      <c r="BM133" s="1" t="s">
        <v>256</v>
      </c>
      <c r="BR133" s="1" t="s">
        <v>1242</v>
      </c>
      <c r="BS133" s="1" t="s">
        <v>1424</v>
      </c>
      <c r="BZ133" t="s">
        <v>1521</v>
      </c>
      <c r="CA133" t="s">
        <v>1440</v>
      </c>
    </row>
    <row r="134" spans="18:79" ht="16.350000000000001" customHeight="1">
      <c r="R134" s="877">
        <f>Ram_1!AR130</f>
        <v>0</v>
      </c>
      <c r="V134" s="865" t="str">
        <f>'Translate&amp;Prices&amp;Logo'!$O$562</f>
        <v>Rodzaj folii</v>
      </c>
      <c r="W134" s="865"/>
      <c r="X134" s="865"/>
      <c r="Y134" s="865"/>
      <c r="Z134" s="865"/>
      <c r="AA134" s="113"/>
      <c r="AB134" s="864">
        <f>IFERROR(VLOOKUP(Ram_4!$H$24,BZ120:CA134,2,0),0)</f>
        <v>0</v>
      </c>
      <c r="AC134" s="864"/>
      <c r="AD134" s="864"/>
      <c r="AE134" s="864"/>
      <c r="AF134" s="864"/>
      <c r="AG134" s="864"/>
      <c r="AH134" s="864"/>
      <c r="AI134" s="864"/>
      <c r="AJ134" s="864"/>
      <c r="AK134" s="864"/>
      <c r="AL134" s="864"/>
      <c r="AM134" s="864"/>
      <c r="AN134" s="864"/>
      <c r="AQ134" s="880"/>
      <c r="BC134" s="1" t="s">
        <v>991</v>
      </c>
      <c r="BD134" s="1" t="s">
        <v>1254</v>
      </c>
      <c r="BL134" s="1" t="s">
        <v>1425</v>
      </c>
      <c r="BM134" s="1" t="s">
        <v>1425</v>
      </c>
      <c r="BR134" s="1" t="s">
        <v>312</v>
      </c>
      <c r="BS134" s="1" t="s">
        <v>250</v>
      </c>
      <c r="BZ134" t="s">
        <v>1522</v>
      </c>
      <c r="CA134" t="s">
        <v>1441</v>
      </c>
    </row>
    <row r="135" spans="18:79" ht="16.350000000000001" customHeight="1" thickBot="1">
      <c r="R135" s="878">
        <f>Ram_1!AR131</f>
        <v>0</v>
      </c>
      <c r="V135" s="865" t="str">
        <f>'Translate&amp;Prices&amp;Logo'!$O$173</f>
        <v>Rodzaj szkła</v>
      </c>
      <c r="W135" s="865"/>
      <c r="X135" s="865"/>
      <c r="Y135" s="865"/>
      <c r="Z135" s="865"/>
      <c r="AA135" s="113"/>
      <c r="AB135" s="864">
        <f>IFERROR(VLOOKUP(Ram_4!$H$25,kombinace_1!DT:DU,2,0),Ram_4!$H$25)</f>
        <v>0</v>
      </c>
      <c r="AC135" s="864"/>
      <c r="AD135" s="864"/>
      <c r="AE135" s="864"/>
      <c r="AF135" s="864"/>
      <c r="AG135" s="864"/>
      <c r="AH135" s="864"/>
      <c r="AI135" s="864"/>
      <c r="AJ135" s="864"/>
      <c r="AK135" s="864"/>
      <c r="AL135" s="864"/>
      <c r="AM135" s="864"/>
      <c r="AN135" s="864"/>
      <c r="AQ135" s="880"/>
      <c r="BL135" s="1" t="s">
        <v>315</v>
      </c>
      <c r="BM135" s="1" t="s">
        <v>253</v>
      </c>
      <c r="BR135" s="1" t="s">
        <v>313</v>
      </c>
      <c r="BS135" s="1" t="s">
        <v>251</v>
      </c>
    </row>
    <row r="136" spans="18:79" ht="16.350000000000001" customHeight="1">
      <c r="V136" s="865" t="str">
        <f>'Translate&amp;Prices&amp;Logo'!$O$549</f>
        <v>Rozstaw uchwytu (mm)</v>
      </c>
      <c r="W136" s="865"/>
      <c r="X136" s="865"/>
      <c r="Y136" s="865"/>
      <c r="Z136" s="865"/>
      <c r="AA136" s="113"/>
      <c r="AB136" s="864">
        <f>Ram_4!$H$26</f>
        <v>0</v>
      </c>
      <c r="AC136" s="864"/>
      <c r="AD136" s="864"/>
      <c r="AE136" s="864"/>
      <c r="AF136" s="864"/>
      <c r="AG136" s="864"/>
      <c r="AH136" s="864"/>
      <c r="AI136" s="864"/>
      <c r="AJ136" s="864"/>
      <c r="AK136" s="864"/>
      <c r="AL136" s="864"/>
      <c r="AM136" s="864"/>
      <c r="AN136" s="864"/>
      <c r="AQ136" s="880"/>
      <c r="BL136" s="1" t="s">
        <v>316</v>
      </c>
      <c r="BM136" s="1" t="s">
        <v>254</v>
      </c>
      <c r="BR136" s="1" t="s">
        <v>1475</v>
      </c>
      <c r="BS136" s="1" t="s">
        <v>1239</v>
      </c>
    </row>
    <row r="137" spans="18:79" ht="16.350000000000001" customHeight="1">
      <c r="V137" s="865" t="str">
        <f>'Translate&amp;Prices&amp;Logo'!$O$550</f>
        <v>Umieszczenie uchwytu</v>
      </c>
      <c r="W137" s="865"/>
      <c r="X137" s="865"/>
      <c r="Y137" s="865"/>
      <c r="Z137" s="865"/>
      <c r="AA137" s="113"/>
      <c r="AB137" s="864">
        <f>IFERROR(VLOOKUP(Ram_4!$H$27,BR120:BS139,2,0),0)</f>
        <v>0</v>
      </c>
      <c r="AC137" s="864"/>
      <c r="AD137" s="864"/>
      <c r="AE137" s="864"/>
      <c r="AF137" s="864"/>
      <c r="AG137" s="864"/>
      <c r="AH137" s="864"/>
      <c r="AI137" s="864"/>
      <c r="AJ137" s="864"/>
      <c r="AK137" s="864"/>
      <c r="AL137" s="864"/>
      <c r="AM137" s="864"/>
      <c r="AN137" s="864"/>
      <c r="AQ137" s="880"/>
      <c r="BL137" s="1" t="s">
        <v>317</v>
      </c>
      <c r="BM137" s="1" t="s">
        <v>255</v>
      </c>
      <c r="BR137" s="1" t="s">
        <v>1002</v>
      </c>
      <c r="BS137" s="1" t="s">
        <v>1424</v>
      </c>
    </row>
    <row r="138" spans="18:79" ht="16.350000000000001" customHeight="1">
      <c r="V138" s="865" t="str">
        <f>('Translate&amp;Prices&amp;Logo'!$O$174)&amp;" "&amp;"-"&amp;" "&amp;('Translate&amp;Prices&amp;Logo'!$O$169)&amp;" "&amp;" "&amp;4</f>
        <v>Ilość sztuk - Ramka  4</v>
      </c>
      <c r="W138" s="865"/>
      <c r="X138" s="865"/>
      <c r="Y138" s="865"/>
      <c r="Z138" s="865"/>
      <c r="AA138" s="113"/>
      <c r="AB138" s="864">
        <f>Ram_4!$H$28</f>
        <v>0</v>
      </c>
      <c r="AC138" s="864"/>
      <c r="AD138" s="864"/>
      <c r="AE138" s="864"/>
      <c r="AF138" s="864"/>
      <c r="AG138" s="864"/>
      <c r="AH138" s="864"/>
      <c r="AI138" s="864"/>
      <c r="AJ138" s="864"/>
      <c r="AK138" s="864"/>
      <c r="AL138" s="864"/>
      <c r="AM138" s="864"/>
      <c r="AN138" s="864"/>
      <c r="AQ138" s="880"/>
      <c r="BL138" s="1" t="s">
        <v>318</v>
      </c>
      <c r="BM138" s="1" t="s">
        <v>256</v>
      </c>
      <c r="BR138" s="1" t="s">
        <v>993</v>
      </c>
      <c r="BS138" s="1" t="s">
        <v>250</v>
      </c>
    </row>
    <row r="139" spans="18:79" ht="16.350000000000001" customHeight="1">
      <c r="AD139" s="1"/>
      <c r="AE139" s="1"/>
      <c r="AQ139" s="880"/>
      <c r="BL139" s="1" t="s">
        <v>1373</v>
      </c>
      <c r="BM139" s="1" t="s">
        <v>1425</v>
      </c>
      <c r="BR139" s="1" t="s">
        <v>994</v>
      </c>
      <c r="BS139" s="1" t="s">
        <v>251</v>
      </c>
    </row>
    <row r="140" spans="18:79" ht="14.85" customHeight="1">
      <c r="AQ140" s="880"/>
      <c r="BL140" s="1" t="s">
        <v>1476</v>
      </c>
      <c r="BM140" s="1" t="s">
        <v>253</v>
      </c>
    </row>
    <row r="141" spans="18:79" ht="14.85" customHeight="1">
      <c r="V141" s="870" t="s">
        <v>1725</v>
      </c>
      <c r="W141" s="870"/>
      <c r="X141" s="870"/>
      <c r="Y141" s="870"/>
      <c r="AD141" s="870" t="s">
        <v>1726</v>
      </c>
      <c r="AE141" s="870"/>
      <c r="AF141" s="870"/>
      <c r="AG141" s="870"/>
      <c r="AQ141" s="880"/>
      <c r="BL141" s="1" t="s">
        <v>1477</v>
      </c>
      <c r="BM141" s="1" t="s">
        <v>254</v>
      </c>
    </row>
    <row r="142" spans="18:79" ht="14.85" customHeight="1">
      <c r="AD142" s="882"/>
      <c r="AE142" s="883"/>
      <c r="AF142" s="883"/>
      <c r="AG142" s="883"/>
      <c r="AH142" s="883"/>
      <c r="AI142" s="883"/>
      <c r="AJ142" s="883"/>
      <c r="AK142" s="883"/>
      <c r="AL142" s="883"/>
      <c r="AM142" s="884"/>
      <c r="AQ142" s="880"/>
      <c r="BL142" s="1" t="s">
        <v>1601</v>
      </c>
      <c r="BM142" s="1" t="s">
        <v>255</v>
      </c>
    </row>
    <row r="143" spans="18:79" ht="14.85" customHeight="1">
      <c r="AD143" s="885"/>
      <c r="AE143" s="886"/>
      <c r="AF143" s="886"/>
      <c r="AG143" s="886"/>
      <c r="AH143" s="886"/>
      <c r="AI143" s="886"/>
      <c r="AJ143" s="886"/>
      <c r="AK143" s="886"/>
      <c r="AL143" s="886"/>
      <c r="AM143" s="887"/>
      <c r="AQ143" s="880"/>
      <c r="BL143" s="1" t="s">
        <v>1602</v>
      </c>
      <c r="BM143" s="1" t="s">
        <v>256</v>
      </c>
    </row>
    <row r="144" spans="18:79" ht="14.85" customHeight="1">
      <c r="AD144" s="885"/>
      <c r="AE144" s="886"/>
      <c r="AF144" s="886"/>
      <c r="AG144" s="886"/>
      <c r="AH144" s="886"/>
      <c r="AI144" s="886"/>
      <c r="AJ144" s="886"/>
      <c r="AK144" s="886"/>
      <c r="AL144" s="886"/>
      <c r="AM144" s="887"/>
      <c r="AQ144" s="880"/>
      <c r="BL144" s="1" t="s">
        <v>1051</v>
      </c>
      <c r="BM144" s="1" t="s">
        <v>1425</v>
      </c>
    </row>
    <row r="145" spans="1:79" ht="14.85" customHeight="1">
      <c r="C145" s="894">
        <f>IF(OR(Ram_4!$AC$25="x",Ram_4!$AJ$26="x",Ram_4!$AC$9="x",Ram_4!$AJ$7="x",Ram_4!$AB$16="x",Ram_4!$AM$23="x",Ram_4!$AN$19="x",Ram_4!$AD$10="x"),'Translate&amp;Prices&amp;Logo'!$B$588,0)</f>
        <v>0</v>
      </c>
      <c r="D145" s="894"/>
      <c r="E145" s="894"/>
      <c r="F145" s="894"/>
      <c r="G145" s="894"/>
      <c r="H145" s="894"/>
      <c r="I145" s="894"/>
      <c r="J145" s="894"/>
      <c r="K145" s="894"/>
      <c r="L145" s="894"/>
      <c r="M145" s="894"/>
      <c r="N145" s="894"/>
      <c r="O145" s="894"/>
      <c r="AD145" s="885"/>
      <c r="AE145" s="886"/>
      <c r="AF145" s="886"/>
      <c r="AG145" s="886"/>
      <c r="AH145" s="886"/>
      <c r="AI145" s="886"/>
      <c r="AJ145" s="886"/>
      <c r="AK145" s="886"/>
      <c r="AL145" s="886"/>
      <c r="AM145" s="887"/>
      <c r="AQ145" s="880"/>
    </row>
    <row r="146" spans="1:79" ht="14.85" customHeight="1">
      <c r="AD146" s="885"/>
      <c r="AE146" s="886"/>
      <c r="AF146" s="886"/>
      <c r="AG146" s="886"/>
      <c r="AH146" s="886"/>
      <c r="AI146" s="886"/>
      <c r="AJ146" s="886"/>
      <c r="AK146" s="886"/>
      <c r="AL146" s="886"/>
      <c r="AM146" s="887"/>
      <c r="AQ146" s="880"/>
    </row>
    <row r="147" spans="1:79" ht="14.85" customHeight="1" thickBot="1">
      <c r="AD147" s="885"/>
      <c r="AE147" s="886"/>
      <c r="AF147" s="886"/>
      <c r="AG147" s="886"/>
      <c r="AH147" s="886"/>
      <c r="AI147" s="886"/>
      <c r="AJ147" s="886"/>
      <c r="AK147" s="886"/>
      <c r="AL147" s="886"/>
      <c r="AM147" s="887"/>
      <c r="AQ147" s="880"/>
    </row>
    <row r="148" spans="1:79" ht="14.85" customHeight="1" thickBot="1">
      <c r="F148" s="871" t="str">
        <f>'Translate&amp;Prices&amp;Logo'!$O$175</f>
        <v>Szerokość</v>
      </c>
      <c r="G148" s="872">
        <f>Ram_1!AG138</f>
        <v>0</v>
      </c>
      <c r="H148" s="872">
        <f>Ram_1!AH138</f>
        <v>0</v>
      </c>
      <c r="I148" s="873">
        <f>Ram_4!AI30</f>
        <v>0</v>
      </c>
      <c r="J148" s="873">
        <f>Ram_1!AJ138</f>
        <v>0</v>
      </c>
      <c r="K148" s="874">
        <f>Ram_1!AK138</f>
        <v>0</v>
      </c>
      <c r="AD148" s="885"/>
      <c r="AE148" s="886"/>
      <c r="AF148" s="886"/>
      <c r="AG148" s="886"/>
      <c r="AH148" s="886"/>
      <c r="AI148" s="886"/>
      <c r="AJ148" s="886"/>
      <c r="AK148" s="886"/>
      <c r="AL148" s="886"/>
      <c r="AM148" s="887"/>
      <c r="AQ148" s="880"/>
    </row>
    <row r="149" spans="1:79" ht="21" customHeight="1">
      <c r="AD149" s="888"/>
      <c r="AE149" s="889"/>
      <c r="AF149" s="889"/>
      <c r="AG149" s="889"/>
      <c r="AH149" s="889"/>
      <c r="AI149" s="889"/>
      <c r="AJ149" s="889"/>
      <c r="AK149" s="889"/>
      <c r="AL149" s="889"/>
      <c r="AM149" s="890"/>
      <c r="AQ149" s="880"/>
    </row>
    <row r="150" spans="1:79" ht="14.85" customHeight="1">
      <c r="AQ150" s="880"/>
    </row>
    <row r="151" spans="1:79" ht="14.85" customHeight="1">
      <c r="AQ151" s="880"/>
    </row>
    <row r="152" spans="1:79"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181"/>
      <c r="AE152" s="182"/>
      <c r="AF152" s="30"/>
      <c r="AG152" s="30"/>
      <c r="AH152" s="30"/>
      <c r="AI152" s="30"/>
      <c r="AJ152" s="30"/>
      <c r="AK152" s="30"/>
      <c r="AL152" s="30"/>
      <c r="AM152" s="30"/>
      <c r="AN152" s="30"/>
      <c r="AO152" s="30"/>
      <c r="AP152" s="30"/>
      <c r="AQ152" s="30"/>
    </row>
    <row r="153" spans="1:79" ht="35.1" customHeight="1" thickBot="1">
      <c r="I153" s="178"/>
      <c r="J153" s="178"/>
      <c r="K153" s="178"/>
      <c r="L153" s="178"/>
      <c r="M153" s="178"/>
      <c r="N153" s="178"/>
      <c r="O153" s="178"/>
      <c r="P153" s="178"/>
      <c r="Q153" s="178"/>
      <c r="R153" s="178"/>
      <c r="S153" s="178"/>
      <c r="T153" s="178"/>
      <c r="U153" s="178"/>
      <c r="V153" s="869" t="str">
        <f>'Translate&amp;Prices&amp;Logo'!$O$256</f>
        <v>Numer zamówienia</v>
      </c>
      <c r="W153" s="869"/>
      <c r="X153" s="869"/>
      <c r="Y153" s="869"/>
      <c r="Z153" s="869"/>
      <c r="AA153" s="113"/>
      <c r="AB153" s="866"/>
      <c r="AC153" s="867"/>
      <c r="AD153" s="867"/>
      <c r="AE153" s="867"/>
      <c r="AF153" s="867"/>
      <c r="AG153" s="867"/>
      <c r="AH153" s="867"/>
      <c r="AI153" s="867"/>
      <c r="AJ153" s="867"/>
      <c r="AK153" s="867"/>
      <c r="AL153" s="867"/>
      <c r="AM153" s="867"/>
      <c r="AN153" s="868"/>
      <c r="AQ153" s="880" t="s">
        <v>1731</v>
      </c>
    </row>
    <row r="154" spans="1:79" ht="16.350000000000001" customHeight="1">
      <c r="V154" s="865" t="str">
        <f>'Translate&amp;Prices&amp;Logo'!$O$542</f>
        <v>Połączenie 2 profili</v>
      </c>
      <c r="W154" s="865"/>
      <c r="X154" s="865"/>
      <c r="Y154" s="865"/>
      <c r="Z154" s="865"/>
      <c r="AA154" s="113"/>
      <c r="AB154" s="879" t="str">
        <f>IF(kombinace_5!$H$1=TRUE,"Tak","Nie")</f>
        <v>Nie</v>
      </c>
      <c r="AC154" s="879"/>
      <c r="AD154" s="879"/>
      <c r="AE154" s="879"/>
      <c r="AF154" s="879"/>
      <c r="AG154" s="879"/>
      <c r="AH154" s="879"/>
      <c r="AI154" s="879"/>
      <c r="AJ154" s="879"/>
      <c r="AK154" s="879"/>
      <c r="AL154" s="879"/>
      <c r="AM154" s="879"/>
      <c r="AN154" s="879"/>
      <c r="AQ154" s="880"/>
    </row>
    <row r="155" spans="1:79" ht="16.350000000000001" customHeight="1">
      <c r="V155" s="865" t="str">
        <f>'Translate&amp;Prices&amp;Logo'!$O$172</f>
        <v>Rodzaj profilu</v>
      </c>
      <c r="W155" s="865"/>
      <c r="X155" s="865"/>
      <c r="Y155" s="865"/>
      <c r="Z155" s="865"/>
      <c r="AA155" s="113"/>
      <c r="AB155" s="864">
        <f>IFERROR(VLOOKUP(Ram_5!$H$8,'Translate&amp;Prices&amp;Logo'!AA:AB,2,0),Ram_5!$H$8)</f>
        <v>0</v>
      </c>
      <c r="AC155" s="864"/>
      <c r="AD155" s="864"/>
      <c r="AE155" s="864"/>
      <c r="AF155" s="864"/>
      <c r="AG155" s="864"/>
      <c r="AH155" s="864"/>
      <c r="AI155" s="864"/>
      <c r="AJ155" s="864"/>
      <c r="AK155" s="864"/>
      <c r="AL155" s="864"/>
      <c r="AM155" s="864"/>
      <c r="AN155" s="864"/>
      <c r="AQ155" s="880"/>
    </row>
    <row r="156" spans="1:79" ht="16.350000000000001" customHeight="1">
      <c r="V156" s="865" t="str">
        <f>'Translate&amp;Prices&amp;Logo'!$O$543</f>
        <v>Szprosy</v>
      </c>
      <c r="W156" s="865"/>
      <c r="X156" s="865"/>
      <c r="Y156" s="865"/>
      <c r="Z156" s="865"/>
      <c r="AA156" s="113"/>
      <c r="AB156" s="864" t="str">
        <f>IFERROR(VLOOKUP(Ram_5!$AU$10,AT156:AU159,2,0),0)</f>
        <v>Nie</v>
      </c>
      <c r="AC156" s="864"/>
      <c r="AD156" s="864"/>
      <c r="AE156" s="864"/>
      <c r="AF156" s="864"/>
      <c r="AG156" s="864"/>
      <c r="AH156" s="864"/>
      <c r="AI156" s="864"/>
      <c r="AJ156" s="864"/>
      <c r="AK156" s="864"/>
      <c r="AL156" s="864"/>
      <c r="AM156" s="864"/>
      <c r="AN156" s="864"/>
      <c r="AQ156" s="880"/>
      <c r="AT156">
        <v>0</v>
      </c>
      <c r="AU156" t="str">
        <f>'Translate&amp;Prices&amp;Logo'!$O$557</f>
        <v>Nie</v>
      </c>
      <c r="AY156">
        <v>2</v>
      </c>
      <c r="AZ156" t="str">
        <f>'Translate&amp;Prices&amp;Logo'!$O$551</f>
        <v>Zawiasy</v>
      </c>
      <c r="BC156" s="1" t="s">
        <v>69</v>
      </c>
      <c r="BD156" s="1" t="s">
        <v>222</v>
      </c>
      <c r="BH156" s="1" t="s">
        <v>52</v>
      </c>
      <c r="BI156" s="1" t="s">
        <v>216</v>
      </c>
      <c r="BL156" s="1" t="s">
        <v>107</v>
      </c>
      <c r="BM156" s="1" t="s">
        <v>253</v>
      </c>
      <c r="BR156" s="1" t="s">
        <v>113</v>
      </c>
      <c r="BS156" s="1" t="s">
        <v>1239</v>
      </c>
      <c r="BW156" s="1">
        <v>1</v>
      </c>
      <c r="BX156" s="1" t="str">
        <f>'Translate&amp;Prices&amp;Logo'!$O$100</f>
        <v>Bez modyfikacji</v>
      </c>
      <c r="BZ156" t="s">
        <v>1039</v>
      </c>
      <c r="CA156" t="s">
        <v>1439</v>
      </c>
    </row>
    <row r="157" spans="1:79" ht="16.350000000000001" customHeight="1">
      <c r="V157" s="183"/>
      <c r="W157" s="183"/>
      <c r="X157" s="183"/>
      <c r="Y157" s="183"/>
      <c r="Z157" s="183"/>
      <c r="AA157" s="113"/>
      <c r="AB157" s="881" t="str">
        <f>'Translate&amp;Prices&amp;Logo'!$O$558</f>
        <v>Poziomo (termin dostawy 4 tygodnie)</v>
      </c>
      <c r="AC157" s="881"/>
      <c r="AD157" s="881"/>
      <c r="AE157" s="881"/>
      <c r="AF157" s="881"/>
      <c r="AG157" s="881"/>
      <c r="AH157" s="881"/>
      <c r="AI157" s="881" t="str">
        <f>'Translate&amp;Prices&amp;Logo'!$O$559</f>
        <v>Pionowo (termin dostawy 4 tygodnie)</v>
      </c>
      <c r="AJ157" s="881"/>
      <c r="AK157" s="881"/>
      <c r="AL157" s="881"/>
      <c r="AM157" s="881"/>
      <c r="AN157" s="881"/>
      <c r="AQ157" s="880"/>
      <c r="AT157">
        <v>1</v>
      </c>
      <c r="AU157" t="str">
        <f>'Translate&amp;Prices&amp;Logo'!$O$558</f>
        <v>Poziomo (termin dostawy 4 tygodnie)</v>
      </c>
      <c r="AY157">
        <v>3</v>
      </c>
      <c r="AZ157" t="str">
        <f>'Translate&amp;Prices&amp;Logo'!$O$552</f>
        <v>Podnośniki</v>
      </c>
      <c r="BC157" s="1" t="s">
        <v>70</v>
      </c>
      <c r="BD157" s="1" t="s">
        <v>223</v>
      </c>
      <c r="BH157" s="1" t="s">
        <v>51</v>
      </c>
      <c r="BI157" s="1" t="s">
        <v>217</v>
      </c>
      <c r="BL157" s="1" t="s">
        <v>108</v>
      </c>
      <c r="BM157" s="1" t="s">
        <v>254</v>
      </c>
      <c r="BR157" s="1" t="s">
        <v>114</v>
      </c>
      <c r="BS157" s="1" t="s">
        <v>1424</v>
      </c>
      <c r="BW157" s="1">
        <v>2</v>
      </c>
      <c r="BX157" s="1" t="str">
        <f>'Translate&amp;Prices&amp;Logo'!$O$101</f>
        <v>Hartowane</v>
      </c>
      <c r="BZ157" t="s">
        <v>1042</v>
      </c>
      <c r="CA157" t="s">
        <v>1440</v>
      </c>
    </row>
    <row r="158" spans="1:79" ht="16.350000000000001" customHeight="1">
      <c r="V158" s="865" t="str">
        <f>('Translate&amp;Prices&amp;Logo'!$O$543)&amp;" "&amp;"("&amp;'Translate&amp;Prices&amp;Logo'!$O$174&amp;")"</f>
        <v>Szprosy (Ilość sztuk)</v>
      </c>
      <c r="W158" s="865"/>
      <c r="X158" s="865"/>
      <c r="Y158" s="865"/>
      <c r="Z158" s="865"/>
      <c r="AA158" s="113"/>
      <c r="AB158" s="864">
        <f>Ram_5!$H$11</f>
        <v>0</v>
      </c>
      <c r="AC158" s="864"/>
      <c r="AD158" s="864"/>
      <c r="AE158" s="864"/>
      <c r="AF158" s="864"/>
      <c r="AG158" s="864"/>
      <c r="AH158" s="864"/>
      <c r="AI158" s="864">
        <f>Ram_5!$M$11</f>
        <v>0</v>
      </c>
      <c r="AJ158" s="864"/>
      <c r="AK158" s="864"/>
      <c r="AL158" s="864"/>
      <c r="AM158" s="864"/>
      <c r="AN158" s="864"/>
      <c r="AQ158" s="880"/>
      <c r="AT158">
        <v>2</v>
      </c>
      <c r="AU158" t="str">
        <f>'Translate&amp;Prices&amp;Logo'!$O$559</f>
        <v>Pionowo (termin dostawy 4 tygodnie)</v>
      </c>
      <c r="BC158" s="1" t="s">
        <v>71</v>
      </c>
      <c r="BD158" s="1" t="s">
        <v>1254</v>
      </c>
      <c r="BH158" s="1" t="s">
        <v>160</v>
      </c>
      <c r="BI158" s="1" t="s">
        <v>216</v>
      </c>
      <c r="BL158" s="1" t="s">
        <v>110</v>
      </c>
      <c r="BM158" s="1" t="s">
        <v>255</v>
      </c>
      <c r="BR158" s="1" t="s">
        <v>104</v>
      </c>
      <c r="BS158" s="1" t="s">
        <v>250</v>
      </c>
      <c r="BW158" s="1">
        <v>3</v>
      </c>
      <c r="BX158" s="1" t="str">
        <f>'Translate&amp;Prices&amp;Logo'!$O$102</f>
        <v>Folia</v>
      </c>
      <c r="BZ158" t="s">
        <v>1045</v>
      </c>
      <c r="CA158" t="s">
        <v>1441</v>
      </c>
    </row>
    <row r="159" spans="1:79" ht="16.350000000000001" customHeight="1">
      <c r="V159" s="865" t="str">
        <f>'Translate&amp;Prices&amp;Logo'!$O$258</f>
        <v>Typ okucia</v>
      </c>
      <c r="W159" s="865"/>
      <c r="X159" s="865"/>
      <c r="Y159" s="865"/>
      <c r="Z159" s="865"/>
      <c r="AA159" s="113"/>
      <c r="AB159" s="864">
        <f>IFERROR(VLOOKUP(Ram_5!$AU$9,AY156:AZ157,2,0),0)</f>
        <v>0</v>
      </c>
      <c r="AC159" s="864"/>
      <c r="AD159" s="864"/>
      <c r="AE159" s="864"/>
      <c r="AF159" s="864"/>
      <c r="AG159" s="864"/>
      <c r="AH159" s="864"/>
      <c r="AI159" s="864"/>
      <c r="AJ159" s="864"/>
      <c r="AK159" s="864"/>
      <c r="AL159" s="864"/>
      <c r="AM159" s="864"/>
      <c r="AN159" s="864"/>
      <c r="AQ159" s="880"/>
      <c r="AT159">
        <v>3</v>
      </c>
      <c r="AU159" t="str">
        <f>'Translate&amp;Prices&amp;Logo'!$O$560</f>
        <v>Poziomo i pionowo (termin dostawy 4 tygodnie)</v>
      </c>
      <c r="BC159" s="1" t="s">
        <v>69</v>
      </c>
      <c r="BD159" s="1" t="s">
        <v>222</v>
      </c>
      <c r="BH159" s="1" t="s">
        <v>161</v>
      </c>
      <c r="BI159" s="1" t="s">
        <v>217</v>
      </c>
      <c r="BL159" s="1" t="s">
        <v>109</v>
      </c>
      <c r="BM159" s="1" t="s">
        <v>256</v>
      </c>
      <c r="BR159" s="1" t="s">
        <v>103</v>
      </c>
      <c r="BS159" s="1" t="s">
        <v>251</v>
      </c>
      <c r="BZ159" t="s">
        <v>1328</v>
      </c>
      <c r="CA159" t="s">
        <v>1439</v>
      </c>
    </row>
    <row r="160" spans="1:79" ht="16.350000000000001" customHeight="1">
      <c r="V160" s="865" t="str">
        <f>'Translate&amp;Prices&amp;Logo'!$O$544</f>
        <v>Marka okucia</v>
      </c>
      <c r="W160" s="865"/>
      <c r="X160" s="865"/>
      <c r="Y160" s="865"/>
      <c r="Z160" s="865"/>
      <c r="AA160" s="113"/>
      <c r="AB160" s="864">
        <f>Ram_5!$H$13</f>
        <v>0</v>
      </c>
      <c r="AC160" s="864"/>
      <c r="AD160" s="864"/>
      <c r="AE160" s="864"/>
      <c r="AF160" s="864"/>
      <c r="AG160" s="864"/>
      <c r="AH160" s="864"/>
      <c r="AI160" s="864"/>
      <c r="AJ160" s="864"/>
      <c r="AK160" s="864"/>
      <c r="AL160" s="864"/>
      <c r="AM160" s="864"/>
      <c r="AN160" s="864"/>
      <c r="AQ160" s="880"/>
      <c r="BC160" s="1" t="s">
        <v>70</v>
      </c>
      <c r="BD160" s="1" t="s">
        <v>223</v>
      </c>
      <c r="BH160" s="1" t="s">
        <v>410</v>
      </c>
      <c r="BI160" s="1" t="s">
        <v>216</v>
      </c>
      <c r="BL160" s="1" t="s">
        <v>111</v>
      </c>
      <c r="BM160" s="1" t="s">
        <v>1425</v>
      </c>
      <c r="BR160" s="1" t="s">
        <v>1241</v>
      </c>
      <c r="BS160" s="1" t="s">
        <v>1239</v>
      </c>
      <c r="BZ160" t="s">
        <v>1329</v>
      </c>
      <c r="CA160" t="s">
        <v>1440</v>
      </c>
    </row>
    <row r="161" spans="18:79" ht="16.350000000000001" customHeight="1" thickBot="1">
      <c r="V161" s="865" t="str">
        <f>'Translate&amp;Prices&amp;Logo'!$O$546</f>
        <v>Nałożenie</v>
      </c>
      <c r="W161" s="865"/>
      <c r="X161" s="865"/>
      <c r="Y161" s="865"/>
      <c r="Z161" s="865"/>
      <c r="AA161" s="113"/>
      <c r="AB161" s="864">
        <f>IFERROR(VLOOKUP(Ram_5!$H$14,BC156:BD170,2,0),0)</f>
        <v>0</v>
      </c>
      <c r="AC161" s="864"/>
      <c r="AD161" s="864"/>
      <c r="AE161" s="864"/>
      <c r="AF161" s="864"/>
      <c r="AG161" s="864"/>
      <c r="AH161" s="864"/>
      <c r="AI161" s="864"/>
      <c r="AJ161" s="864"/>
      <c r="AK161" s="864"/>
      <c r="AL161" s="864"/>
      <c r="AM161" s="864"/>
      <c r="AN161" s="864"/>
      <c r="AQ161" s="880"/>
      <c r="BC161" s="1" t="s">
        <v>71</v>
      </c>
      <c r="BD161" s="1" t="s">
        <v>1254</v>
      </c>
      <c r="BH161" s="1" t="s">
        <v>283</v>
      </c>
      <c r="BI161" s="1" t="s">
        <v>217</v>
      </c>
      <c r="BL161" s="1" t="s">
        <v>193</v>
      </c>
      <c r="BM161" s="1" t="s">
        <v>253</v>
      </c>
      <c r="BR161" s="1" t="s">
        <v>114</v>
      </c>
      <c r="BS161" s="1" t="s">
        <v>1424</v>
      </c>
      <c r="BZ161" t="s">
        <v>1330</v>
      </c>
      <c r="CA161" t="s">
        <v>1441</v>
      </c>
    </row>
    <row r="162" spans="18:79" ht="16.350000000000001" customHeight="1">
      <c r="R162" s="875">
        <f>Ram_5!AR14</f>
        <v>0</v>
      </c>
      <c r="V162" s="865" t="str">
        <f>'Translate&amp;Prices&amp;Logo'!$O$545</f>
        <v>Wariant okucia</v>
      </c>
      <c r="W162" s="865"/>
      <c r="X162" s="865"/>
      <c r="Y162" s="865"/>
      <c r="Z162" s="865"/>
      <c r="AA162" s="113"/>
      <c r="AB162" s="864">
        <f>IFERROR(VLOOKUP(Ram_5!$H$15,kombinace_1!$ED:$EE,2,0),Ram_5!$H$15)</f>
        <v>0</v>
      </c>
      <c r="AC162" s="864"/>
      <c r="AD162" s="864"/>
      <c r="AE162" s="864"/>
      <c r="AF162" s="864"/>
      <c r="AG162" s="864"/>
      <c r="AH162" s="864" t="str">
        <f>IF(AB162='Translate&amp;Prices&amp;Logo'!C698,VLOOKUP(Ram_5!H17,'Translate&amp;Prices&amp;Logo'!C699:D718,2,0),"")</f>
        <v/>
      </c>
      <c r="AI162" s="864"/>
      <c r="AJ162" s="864"/>
      <c r="AK162" s="864"/>
      <c r="AL162" s="864"/>
      <c r="AM162" s="864"/>
      <c r="AN162" s="864"/>
      <c r="AQ162" s="880"/>
      <c r="BC162" s="1" t="s">
        <v>222</v>
      </c>
      <c r="BD162" s="1" t="s">
        <v>222</v>
      </c>
      <c r="BH162" s="1" t="s">
        <v>1468</v>
      </c>
      <c r="BI162" s="1" t="s">
        <v>216</v>
      </c>
      <c r="BL162" s="1" t="s">
        <v>194</v>
      </c>
      <c r="BM162" s="1" t="s">
        <v>254</v>
      </c>
      <c r="BR162" s="1" t="s">
        <v>189</v>
      </c>
      <c r="BS162" s="1" t="s">
        <v>250</v>
      </c>
      <c r="BZ162" t="s">
        <v>1439</v>
      </c>
      <c r="CA162" t="s">
        <v>1439</v>
      </c>
    </row>
    <row r="163" spans="18:79" ht="16.350000000000001" customHeight="1">
      <c r="R163" s="876">
        <f>Ram_1!AR159</f>
        <v>0</v>
      </c>
      <c r="V163" s="865" t="str">
        <f>'Translate&amp;Prices&amp;Logo'!$O$218</f>
        <v>Wybierz pozycję ramki</v>
      </c>
      <c r="W163" s="865"/>
      <c r="X163" s="865"/>
      <c r="Y163" s="865"/>
      <c r="Z163" s="865"/>
      <c r="AA163" s="864">
        <f>IFERROR(VLOOKUP(Ram_5!$F$16,BH156:BI165,2,0),0)</f>
        <v>0</v>
      </c>
      <c r="AB163" s="864"/>
      <c r="AC163" s="864"/>
      <c r="AD163" s="864"/>
      <c r="AE163" s="864"/>
      <c r="AF163" s="865" t="str">
        <f>'Translate&amp;Prices&amp;Logo'!$O$232</f>
        <v>Rodzaj drugiej ramki</v>
      </c>
      <c r="AG163" s="865"/>
      <c r="AH163" s="865"/>
      <c r="AI163" s="865"/>
      <c r="AJ163" s="865"/>
      <c r="AK163" s="864">
        <f>IFERROR(VLOOKUP(Ram_5!$N$16,BL156:BM180,2,0),0)</f>
        <v>0</v>
      </c>
      <c r="AL163" s="864"/>
      <c r="AM163" s="864"/>
      <c r="AN163" s="864"/>
      <c r="AQ163" s="880"/>
      <c r="BC163" s="1" t="s">
        <v>223</v>
      </c>
      <c r="BD163" s="1" t="s">
        <v>223</v>
      </c>
      <c r="BH163" s="1" t="s">
        <v>1469</v>
      </c>
      <c r="BI163" s="1" t="s">
        <v>217</v>
      </c>
      <c r="BL163" s="1" t="s">
        <v>195</v>
      </c>
      <c r="BM163" s="1" t="s">
        <v>255</v>
      </c>
      <c r="BR163" s="1" t="s">
        <v>190</v>
      </c>
      <c r="BS163" s="1" t="s">
        <v>251</v>
      </c>
      <c r="BZ163" t="s">
        <v>1440</v>
      </c>
      <c r="CA163" t="s">
        <v>1440</v>
      </c>
    </row>
    <row r="164" spans="18:79" ht="16.350000000000001" customHeight="1">
      <c r="R164" s="876">
        <f>Ram_1!AR160</f>
        <v>0</v>
      </c>
      <c r="V164" s="865" t="str">
        <f>IF(AB159='Translate&amp;Prices&amp;Logo'!O551,'Translate&amp;Prices&amp;Logo'!O238,'Translate&amp;Prices&amp;Logo'!$O$226)</f>
        <v>Umieszczenie</v>
      </c>
      <c r="W164" s="865"/>
      <c r="X164" s="865"/>
      <c r="Y164" s="865"/>
      <c r="Z164" s="865"/>
      <c r="AA164" s="113"/>
      <c r="AB164" s="864" t="str">
        <f>IFERROR((IF(Ram_5!H12='Translate&amp;Prices&amp;Logo'!B552,VLOOKUP(Ram_5!$N$16,BR48:BS67,2,0),VLOOKUP(Ram_5!$H$17,BR48:BS67,2,0))),"")</f>
        <v/>
      </c>
      <c r="AC164" s="864"/>
      <c r="AD164" s="864"/>
      <c r="AE164" s="864"/>
      <c r="AF164" s="864"/>
      <c r="AG164" s="864"/>
      <c r="AH164" s="864"/>
      <c r="AI164" s="864"/>
      <c r="AJ164" s="864"/>
      <c r="AK164" s="864"/>
      <c r="AL164" s="864"/>
      <c r="AM164" s="864"/>
      <c r="AN164" s="864"/>
      <c r="AQ164" s="880"/>
      <c r="BC164" s="1" t="s">
        <v>1254</v>
      </c>
      <c r="BD164" s="1" t="s">
        <v>1254</v>
      </c>
      <c r="BH164" s="1" t="s">
        <v>216</v>
      </c>
      <c r="BI164" s="1" t="s">
        <v>216</v>
      </c>
      <c r="BL164" s="1" t="s">
        <v>196</v>
      </c>
      <c r="BM164" s="1" t="s">
        <v>256</v>
      </c>
      <c r="BR164" s="1" t="s">
        <v>1239</v>
      </c>
      <c r="BS164" s="1" t="s">
        <v>1239</v>
      </c>
      <c r="BZ164" t="s">
        <v>1441</v>
      </c>
      <c r="CA164" t="s">
        <v>1441</v>
      </c>
    </row>
    <row r="165" spans="18:79" ht="16.350000000000001" customHeight="1">
      <c r="R165" s="876">
        <f>Ram_1!AR161</f>
        <v>0</v>
      </c>
      <c r="V165" s="865" t="str">
        <f>'Translate&amp;Prices&amp;Logo'!$O$547</f>
        <v>Zawiasy do podnośników</v>
      </c>
      <c r="W165" s="865"/>
      <c r="X165" s="865"/>
      <c r="Y165" s="865"/>
      <c r="Z165" s="865"/>
      <c r="AA165" s="113"/>
      <c r="AB165" s="864" t="str">
        <f>IFERROR((VLOOKUP(Ram_5!$H$18,CJ:CK,2,0)),"")</f>
        <v/>
      </c>
      <c r="AC165" s="864"/>
      <c r="AD165" s="864"/>
      <c r="AE165" s="864"/>
      <c r="AF165" s="864"/>
      <c r="AG165" s="864"/>
      <c r="AH165" s="864"/>
      <c r="AI165" s="864"/>
      <c r="AJ165" s="864"/>
      <c r="AK165" s="864"/>
      <c r="AL165" s="864"/>
      <c r="AM165" s="864"/>
      <c r="AN165" s="864"/>
      <c r="AQ165" s="880"/>
      <c r="BC165" s="1" t="s">
        <v>286</v>
      </c>
      <c r="BD165" s="1" t="s">
        <v>222</v>
      </c>
      <c r="BH165" s="1" t="s">
        <v>217</v>
      </c>
      <c r="BI165" s="1" t="s">
        <v>217</v>
      </c>
      <c r="BL165" s="1" t="s">
        <v>197</v>
      </c>
      <c r="BM165" s="1" t="s">
        <v>1425</v>
      </c>
      <c r="BR165" s="1" t="s">
        <v>1424</v>
      </c>
      <c r="BS165" s="1" t="s">
        <v>1424</v>
      </c>
      <c r="BZ165" t="s">
        <v>1331</v>
      </c>
      <c r="CA165" t="s">
        <v>1439</v>
      </c>
    </row>
    <row r="166" spans="18:79" ht="16.350000000000001" customHeight="1">
      <c r="R166" s="876">
        <f>Ram_1!AR162</f>
        <v>0</v>
      </c>
      <c r="V166" s="865" t="str">
        <f>'Translate&amp;Prices&amp;Logo'!$O$223</f>
        <v>Ilość zawiasów na 1 ramkę</v>
      </c>
      <c r="W166" s="865"/>
      <c r="X166" s="865"/>
      <c r="Y166" s="865"/>
      <c r="Z166" s="865"/>
      <c r="AA166" s="113"/>
      <c r="AB166" s="864">
        <f>Ram_5!$H$19</f>
        <v>0</v>
      </c>
      <c r="AC166" s="864"/>
      <c r="AD166" s="864"/>
      <c r="AE166" s="864"/>
      <c r="AF166" s="864"/>
      <c r="AG166" s="864"/>
      <c r="AH166" s="864"/>
      <c r="AI166" s="864"/>
      <c r="AJ166" s="864"/>
      <c r="AK166" s="864"/>
      <c r="AL166" s="864"/>
      <c r="AM166" s="864"/>
      <c r="AN166" s="864"/>
      <c r="AQ166" s="880"/>
      <c r="BC166" s="1" t="s">
        <v>287</v>
      </c>
      <c r="BD166" s="1" t="s">
        <v>223</v>
      </c>
      <c r="BL166" s="1" t="s">
        <v>253</v>
      </c>
      <c r="BM166" s="1" t="s">
        <v>253</v>
      </c>
      <c r="BR166" s="1" t="s">
        <v>250</v>
      </c>
      <c r="BS166" s="1" t="s">
        <v>250</v>
      </c>
      <c r="BZ166" t="s">
        <v>1414</v>
      </c>
      <c r="CA166" t="s">
        <v>1440</v>
      </c>
    </row>
    <row r="167" spans="18:79" ht="16.350000000000001" customHeight="1">
      <c r="R167" s="877" t="str">
        <f>'Translate&amp;Prices&amp;Logo'!$O$176</f>
        <v>Wysokość</v>
      </c>
      <c r="V167" s="865" t="e">
        <f>'Translate&amp;Prices&amp;Logo'!$O$242&amp;" "&amp;VLOOKUP(Ram_5!H17,kombinace_1!$BY$32:$CC$35,5,0)</f>
        <v>#N/A</v>
      </c>
      <c r="W167" s="865"/>
      <c r="X167" s="865"/>
      <c r="Y167" s="865"/>
      <c r="Z167" s="865"/>
      <c r="AA167" s="864">
        <f>Ram_5!$F$20</f>
        <v>100</v>
      </c>
      <c r="AB167" s="864"/>
      <c r="AC167" s="864"/>
      <c r="AD167" s="864"/>
      <c r="AE167" s="864"/>
      <c r="AF167" s="865" t="e">
        <f>'Translate&amp;Prices&amp;Logo'!$O$242&amp;" "&amp;VLOOKUP(Ram_4!H17,kombinace_1!$BY$32:$CD$35,6,0)</f>
        <v>#N/A</v>
      </c>
      <c r="AG167" s="865"/>
      <c r="AH167" s="865"/>
      <c r="AI167" s="865"/>
      <c r="AJ167" s="865"/>
      <c r="AK167" s="864">
        <f>Ram_5!$N$20</f>
        <v>100</v>
      </c>
      <c r="AL167" s="864"/>
      <c r="AM167" s="864"/>
      <c r="AN167" s="864"/>
      <c r="AQ167" s="880"/>
      <c r="BC167" s="1" t="s">
        <v>288</v>
      </c>
      <c r="BD167" s="1" t="s">
        <v>1254</v>
      </c>
      <c r="BL167" s="1" t="s">
        <v>254</v>
      </c>
      <c r="BM167" s="1" t="s">
        <v>254</v>
      </c>
      <c r="BR167" s="1" t="s">
        <v>251</v>
      </c>
      <c r="BS167" s="1" t="s">
        <v>251</v>
      </c>
      <c r="BZ167" t="s">
        <v>1332</v>
      </c>
      <c r="CA167" t="s">
        <v>1441</v>
      </c>
    </row>
    <row r="168" spans="18:79" ht="16.350000000000001" customHeight="1">
      <c r="R168" s="877">
        <f>Ram_1!AR164</f>
        <v>0</v>
      </c>
      <c r="V168" s="308" t="str">
        <f>'Translate&amp;Prices&amp;Logo'!$O$653</f>
        <v>Wypełnienie z siatki</v>
      </c>
      <c r="W168" s="183"/>
      <c r="X168" s="183"/>
      <c r="Y168" s="183"/>
      <c r="Z168" s="183"/>
      <c r="AA168" s="113"/>
      <c r="AB168" s="863" t="str">
        <f>IF(kombinace_5!FC2=TRUE,"Tak","Nie")</f>
        <v>Nie</v>
      </c>
      <c r="AC168" s="863"/>
      <c r="AD168" s="863"/>
      <c r="AE168" s="863"/>
      <c r="AF168" s="863"/>
      <c r="AG168" s="863"/>
      <c r="AH168" s="863"/>
      <c r="AI168" s="863"/>
      <c r="AJ168" s="863"/>
      <c r="AK168" s="863"/>
      <c r="AL168" s="863"/>
      <c r="AM168" s="863"/>
      <c r="AN168" s="863"/>
      <c r="AQ168" s="880"/>
      <c r="BC168" s="1" t="s">
        <v>1716</v>
      </c>
      <c r="BD168" s="1" t="s">
        <v>222</v>
      </c>
      <c r="BL168" s="1" t="s">
        <v>255</v>
      </c>
      <c r="BM168" s="1" t="s">
        <v>255</v>
      </c>
      <c r="BR168" s="1" t="s">
        <v>1240</v>
      </c>
      <c r="BS168" s="1" t="s">
        <v>1239</v>
      </c>
      <c r="BZ168" t="s">
        <v>1520</v>
      </c>
      <c r="CA168" t="s">
        <v>1439</v>
      </c>
    </row>
    <row r="169" spans="18:79" ht="16.350000000000001" customHeight="1">
      <c r="R169" s="877">
        <f>Ram_1!AR165</f>
        <v>0</v>
      </c>
      <c r="V169" s="865" t="str">
        <f>'Translate&amp;Prices&amp;Logo'!$O$173</f>
        <v>Rodzaj szkła</v>
      </c>
      <c r="W169" s="865"/>
      <c r="X169" s="865"/>
      <c r="Y169" s="865"/>
      <c r="Z169" s="865"/>
      <c r="AA169" s="113"/>
      <c r="AB169" s="864" t="str">
        <f>IFERROR(VLOOKUP(kombinace_5!$V$1,BW156:BX158,2,0),0)</f>
        <v>Bez modyfikacji</v>
      </c>
      <c r="AC169" s="864"/>
      <c r="AD169" s="864"/>
      <c r="AE169" s="864"/>
      <c r="AF169" s="864"/>
      <c r="AG169" s="864"/>
      <c r="AH169" s="864"/>
      <c r="AI169" s="864"/>
      <c r="AJ169" s="864"/>
      <c r="AK169" s="864"/>
      <c r="AL169" s="864"/>
      <c r="AM169" s="864"/>
      <c r="AN169" s="864"/>
      <c r="AQ169" s="880"/>
      <c r="BC169" s="1" t="s">
        <v>1573</v>
      </c>
      <c r="BD169" s="1" t="s">
        <v>223</v>
      </c>
      <c r="BL169" s="1" t="s">
        <v>256</v>
      </c>
      <c r="BM169" s="1" t="s">
        <v>256</v>
      </c>
      <c r="BR169" s="1" t="s">
        <v>1242</v>
      </c>
      <c r="BS169" s="1" t="s">
        <v>1424</v>
      </c>
      <c r="BZ169" t="s">
        <v>1521</v>
      </c>
      <c r="CA169" t="s">
        <v>1440</v>
      </c>
    </row>
    <row r="170" spans="18:79" ht="16.350000000000001" customHeight="1">
      <c r="R170" s="877">
        <f>Ram_1!AR166</f>
        <v>0</v>
      </c>
      <c r="V170" s="865" t="str">
        <f>'Translate&amp;Prices&amp;Logo'!$O$562</f>
        <v>Rodzaj folii</v>
      </c>
      <c r="W170" s="865"/>
      <c r="X170" s="865"/>
      <c r="Y170" s="865"/>
      <c r="Z170" s="865"/>
      <c r="AA170" s="113"/>
      <c r="AB170" s="864">
        <f>IFERROR(VLOOKUP(Ram_5!$H$24,BZ156:CA170,2,0),0)</f>
        <v>0</v>
      </c>
      <c r="AC170" s="864"/>
      <c r="AD170" s="864"/>
      <c r="AE170" s="864"/>
      <c r="AF170" s="864"/>
      <c r="AG170" s="864"/>
      <c r="AH170" s="864"/>
      <c r="AI170" s="864"/>
      <c r="AJ170" s="864"/>
      <c r="AK170" s="864"/>
      <c r="AL170" s="864"/>
      <c r="AM170" s="864"/>
      <c r="AN170" s="864"/>
      <c r="AQ170" s="880"/>
      <c r="BC170" s="1" t="s">
        <v>991</v>
      </c>
      <c r="BD170" s="1" t="s">
        <v>1254</v>
      </c>
      <c r="BL170" s="1" t="s">
        <v>1425</v>
      </c>
      <c r="BM170" s="1" t="s">
        <v>1425</v>
      </c>
      <c r="BR170" s="1" t="s">
        <v>312</v>
      </c>
      <c r="BS170" s="1" t="s">
        <v>250</v>
      </c>
      <c r="BZ170" t="s">
        <v>1522</v>
      </c>
      <c r="CA170" t="s">
        <v>1441</v>
      </c>
    </row>
    <row r="171" spans="18:79" ht="16.350000000000001" customHeight="1" thickBot="1">
      <c r="R171" s="878">
        <f>Ram_1!AR167</f>
        <v>0</v>
      </c>
      <c r="V171" s="865" t="str">
        <f>'Translate&amp;Prices&amp;Logo'!$O$173</f>
        <v>Rodzaj szkła</v>
      </c>
      <c r="W171" s="865"/>
      <c r="X171" s="865"/>
      <c r="Y171" s="865"/>
      <c r="Z171" s="865"/>
      <c r="AA171" s="113"/>
      <c r="AB171" s="864">
        <f>IFERROR(VLOOKUP(Ram_5!$H$25,kombinace_1!DT:DU,2,0),Ram_5!$H$25)</f>
        <v>0</v>
      </c>
      <c r="AC171" s="864"/>
      <c r="AD171" s="864"/>
      <c r="AE171" s="864"/>
      <c r="AF171" s="864"/>
      <c r="AG171" s="864"/>
      <c r="AH171" s="864"/>
      <c r="AI171" s="864"/>
      <c r="AJ171" s="864"/>
      <c r="AK171" s="864"/>
      <c r="AL171" s="864"/>
      <c r="AM171" s="864"/>
      <c r="AN171" s="864"/>
      <c r="AQ171" s="880"/>
      <c r="BL171" s="1" t="s">
        <v>315</v>
      </c>
      <c r="BM171" s="1" t="s">
        <v>253</v>
      </c>
      <c r="BR171" s="1" t="s">
        <v>313</v>
      </c>
      <c r="BS171" s="1" t="s">
        <v>251</v>
      </c>
    </row>
    <row r="172" spans="18:79" ht="16.350000000000001" customHeight="1">
      <c r="V172" s="865" t="str">
        <f>'Translate&amp;Prices&amp;Logo'!$O$549</f>
        <v>Rozstaw uchwytu (mm)</v>
      </c>
      <c r="W172" s="865"/>
      <c r="X172" s="865"/>
      <c r="Y172" s="865"/>
      <c r="Z172" s="865"/>
      <c r="AA172" s="113"/>
      <c r="AB172" s="864">
        <f>Ram_5!$H$26</f>
        <v>0</v>
      </c>
      <c r="AC172" s="864"/>
      <c r="AD172" s="864"/>
      <c r="AE172" s="864"/>
      <c r="AF172" s="864"/>
      <c r="AG172" s="864"/>
      <c r="AH172" s="864"/>
      <c r="AI172" s="864"/>
      <c r="AJ172" s="864"/>
      <c r="AK172" s="864"/>
      <c r="AL172" s="864"/>
      <c r="AM172" s="864"/>
      <c r="AN172" s="864"/>
      <c r="AQ172" s="880"/>
      <c r="BL172" s="1" t="s">
        <v>316</v>
      </c>
      <c r="BM172" s="1" t="s">
        <v>254</v>
      </c>
      <c r="BR172" s="1" t="s">
        <v>1475</v>
      </c>
      <c r="BS172" s="1" t="s">
        <v>1239</v>
      </c>
    </row>
    <row r="173" spans="18:79" ht="16.350000000000001" customHeight="1">
      <c r="V173" s="865" t="str">
        <f>'Translate&amp;Prices&amp;Logo'!$O$550</f>
        <v>Umieszczenie uchwytu</v>
      </c>
      <c r="W173" s="865"/>
      <c r="X173" s="865"/>
      <c r="Y173" s="865"/>
      <c r="Z173" s="865"/>
      <c r="AA173" s="113"/>
      <c r="AB173" s="864">
        <f>IFERROR(VLOOKUP(Ram_5!$H$27,BR156:BS175,2,0),0)</f>
        <v>0</v>
      </c>
      <c r="AC173" s="864"/>
      <c r="AD173" s="864"/>
      <c r="AE173" s="864"/>
      <c r="AF173" s="864"/>
      <c r="AG173" s="864"/>
      <c r="AH173" s="864"/>
      <c r="AI173" s="864"/>
      <c r="AJ173" s="864"/>
      <c r="AK173" s="864"/>
      <c r="AL173" s="864"/>
      <c r="AM173" s="864"/>
      <c r="AN173" s="864"/>
      <c r="AQ173" s="880"/>
      <c r="BL173" s="1" t="s">
        <v>317</v>
      </c>
      <c r="BM173" s="1" t="s">
        <v>255</v>
      </c>
      <c r="BR173" s="1" t="s">
        <v>1002</v>
      </c>
      <c r="BS173" s="1" t="s">
        <v>1424</v>
      </c>
    </row>
    <row r="174" spans="18:79" ht="16.350000000000001" customHeight="1">
      <c r="V174" s="865" t="str">
        <f>('Translate&amp;Prices&amp;Logo'!$O$174)&amp;" "&amp;"-"&amp;" "&amp;('Translate&amp;Prices&amp;Logo'!$O$169)&amp;" "&amp;" "&amp;5</f>
        <v>Ilość sztuk - Ramka  5</v>
      </c>
      <c r="W174" s="865"/>
      <c r="X174" s="865"/>
      <c r="Y174" s="865"/>
      <c r="Z174" s="865"/>
      <c r="AA174" s="113"/>
      <c r="AB174" s="864">
        <f>Ram_5!$H$28</f>
        <v>0</v>
      </c>
      <c r="AC174" s="864"/>
      <c r="AD174" s="864"/>
      <c r="AE174" s="864"/>
      <c r="AF174" s="864"/>
      <c r="AG174" s="864"/>
      <c r="AH174" s="864"/>
      <c r="AI174" s="864"/>
      <c r="AJ174" s="864"/>
      <c r="AK174" s="864"/>
      <c r="AL174" s="864"/>
      <c r="AM174" s="864"/>
      <c r="AN174" s="864"/>
      <c r="AQ174" s="880"/>
      <c r="BL174" s="1" t="s">
        <v>318</v>
      </c>
      <c r="BM174" s="1" t="s">
        <v>256</v>
      </c>
      <c r="BR174" s="1" t="s">
        <v>993</v>
      </c>
      <c r="BS174" s="1" t="s">
        <v>250</v>
      </c>
    </row>
    <row r="175" spans="18:79" ht="16.350000000000001" customHeight="1">
      <c r="AD175" s="1"/>
      <c r="AE175" s="1"/>
      <c r="AQ175" s="880"/>
      <c r="BL175" s="1" t="s">
        <v>1373</v>
      </c>
      <c r="BM175" s="1" t="s">
        <v>1425</v>
      </c>
      <c r="BR175" s="1" t="s">
        <v>994</v>
      </c>
      <c r="BS175" s="1" t="s">
        <v>251</v>
      </c>
    </row>
    <row r="176" spans="18:79" ht="14.85" customHeight="1">
      <c r="AQ176" s="880"/>
      <c r="BL176" s="1" t="s">
        <v>1476</v>
      </c>
      <c r="BM176" s="1" t="s">
        <v>253</v>
      </c>
    </row>
    <row r="177" spans="1:79" ht="14.85" customHeight="1">
      <c r="V177" s="870" t="s">
        <v>1725</v>
      </c>
      <c r="W177" s="870"/>
      <c r="X177" s="870"/>
      <c r="Y177" s="870"/>
      <c r="AD177" s="870" t="s">
        <v>1726</v>
      </c>
      <c r="AE177" s="870"/>
      <c r="AF177" s="870"/>
      <c r="AG177" s="870"/>
      <c r="AQ177" s="880"/>
      <c r="BL177" s="1" t="s">
        <v>1477</v>
      </c>
      <c r="BM177" s="1" t="s">
        <v>254</v>
      </c>
    </row>
    <row r="178" spans="1:79" ht="14.85" customHeight="1">
      <c r="AD178" s="882"/>
      <c r="AE178" s="883"/>
      <c r="AF178" s="883"/>
      <c r="AG178" s="883"/>
      <c r="AH178" s="883"/>
      <c r="AI178" s="883"/>
      <c r="AJ178" s="883"/>
      <c r="AK178" s="883"/>
      <c r="AL178" s="883"/>
      <c r="AM178" s="884"/>
      <c r="AQ178" s="880"/>
      <c r="BL178" s="1" t="s">
        <v>1601</v>
      </c>
      <c r="BM178" s="1" t="s">
        <v>255</v>
      </c>
    </row>
    <row r="179" spans="1:79" ht="14.85" customHeight="1">
      <c r="AD179" s="885"/>
      <c r="AE179" s="886"/>
      <c r="AF179" s="886"/>
      <c r="AG179" s="886"/>
      <c r="AH179" s="886"/>
      <c r="AI179" s="886"/>
      <c r="AJ179" s="886"/>
      <c r="AK179" s="886"/>
      <c r="AL179" s="886"/>
      <c r="AM179" s="887"/>
      <c r="AQ179" s="880"/>
      <c r="BL179" s="1" t="s">
        <v>1602</v>
      </c>
      <c r="BM179" s="1" t="s">
        <v>256</v>
      </c>
    </row>
    <row r="180" spans="1:79" ht="14.85" customHeight="1">
      <c r="AD180" s="885"/>
      <c r="AE180" s="886"/>
      <c r="AF180" s="886"/>
      <c r="AG180" s="886"/>
      <c r="AH180" s="886"/>
      <c r="AI180" s="886"/>
      <c r="AJ180" s="886"/>
      <c r="AK180" s="886"/>
      <c r="AL180" s="886"/>
      <c r="AM180" s="887"/>
      <c r="AQ180" s="880"/>
      <c r="BL180" s="1" t="s">
        <v>1051</v>
      </c>
      <c r="BM180" s="1" t="s">
        <v>1425</v>
      </c>
    </row>
    <row r="181" spans="1:79" ht="14.85" customHeight="1">
      <c r="C181" s="894">
        <f>IF(OR(Ram_5!$AC$25="x",Ram_5!$AJ$26="x",Ram_5!$AC$9="x",Ram_5!$AJ$7="x",Ram_5!$AB$16="x",Ram_5!$AM$23="x",Ram_5!$AN$19="x",Ram_5!$AD$10="x"),'Translate&amp;Prices&amp;Logo'!$B$588,0)</f>
        <v>0</v>
      </c>
      <c r="D181" s="894"/>
      <c r="E181" s="894"/>
      <c r="F181" s="894"/>
      <c r="G181" s="894"/>
      <c r="H181" s="894"/>
      <c r="I181" s="894"/>
      <c r="J181" s="894"/>
      <c r="K181" s="894"/>
      <c r="L181" s="894"/>
      <c r="M181" s="894"/>
      <c r="N181" s="894"/>
      <c r="O181" s="894"/>
      <c r="AD181" s="885"/>
      <c r="AE181" s="886"/>
      <c r="AF181" s="886"/>
      <c r="AG181" s="886"/>
      <c r="AH181" s="886"/>
      <c r="AI181" s="886"/>
      <c r="AJ181" s="886"/>
      <c r="AK181" s="886"/>
      <c r="AL181" s="886"/>
      <c r="AM181" s="887"/>
      <c r="AQ181" s="880"/>
    </row>
    <row r="182" spans="1:79" ht="14.85" customHeight="1">
      <c r="AD182" s="885"/>
      <c r="AE182" s="886"/>
      <c r="AF182" s="886"/>
      <c r="AG182" s="886"/>
      <c r="AH182" s="886"/>
      <c r="AI182" s="886"/>
      <c r="AJ182" s="886"/>
      <c r="AK182" s="886"/>
      <c r="AL182" s="886"/>
      <c r="AM182" s="887"/>
      <c r="AQ182" s="880"/>
    </row>
    <row r="183" spans="1:79" ht="14.85" customHeight="1" thickBot="1">
      <c r="AD183" s="885"/>
      <c r="AE183" s="886"/>
      <c r="AF183" s="886"/>
      <c r="AG183" s="886"/>
      <c r="AH183" s="886"/>
      <c r="AI183" s="886"/>
      <c r="AJ183" s="886"/>
      <c r="AK183" s="886"/>
      <c r="AL183" s="886"/>
      <c r="AM183" s="887"/>
      <c r="AQ183" s="880"/>
    </row>
    <row r="184" spans="1:79" ht="14.85" customHeight="1" thickBot="1">
      <c r="F184" s="871" t="str">
        <f>'Translate&amp;Prices&amp;Logo'!$O$175</f>
        <v>Szerokość</v>
      </c>
      <c r="G184" s="872">
        <f>Ram_1!AG174</f>
        <v>0</v>
      </c>
      <c r="H184" s="872">
        <f>Ram_1!AH174</f>
        <v>0</v>
      </c>
      <c r="I184" s="873">
        <f>Ram_5!AI30</f>
        <v>0</v>
      </c>
      <c r="J184" s="873">
        <f>Ram_1!AJ174</f>
        <v>0</v>
      </c>
      <c r="K184" s="874">
        <f>Ram_1!AK174</f>
        <v>0</v>
      </c>
      <c r="AD184" s="885"/>
      <c r="AE184" s="886"/>
      <c r="AF184" s="886"/>
      <c r="AG184" s="886"/>
      <c r="AH184" s="886"/>
      <c r="AI184" s="886"/>
      <c r="AJ184" s="886"/>
      <c r="AK184" s="886"/>
      <c r="AL184" s="886"/>
      <c r="AM184" s="887"/>
      <c r="AQ184" s="880"/>
    </row>
    <row r="185" spans="1:79" ht="21" customHeight="1">
      <c r="AD185" s="888"/>
      <c r="AE185" s="889"/>
      <c r="AF185" s="889"/>
      <c r="AG185" s="889"/>
      <c r="AH185" s="889"/>
      <c r="AI185" s="889"/>
      <c r="AJ185" s="889"/>
      <c r="AK185" s="889"/>
      <c r="AL185" s="889"/>
      <c r="AM185" s="890"/>
      <c r="AQ185" s="880"/>
    </row>
    <row r="186" spans="1:79" ht="14.85" customHeight="1">
      <c r="AQ186" s="880"/>
    </row>
    <row r="187" spans="1:79" ht="14.85" customHeight="1">
      <c r="AQ187" s="880"/>
    </row>
    <row r="188" spans="1:79"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181"/>
      <c r="AE188" s="182"/>
      <c r="AF188" s="30"/>
      <c r="AG188" s="30"/>
      <c r="AH188" s="30"/>
      <c r="AI188" s="30"/>
      <c r="AJ188" s="30"/>
      <c r="AK188" s="30"/>
      <c r="AL188" s="30"/>
      <c r="AM188" s="30"/>
      <c r="AN188" s="30"/>
      <c r="AO188" s="30"/>
      <c r="AP188" s="30"/>
      <c r="AQ188" s="30"/>
    </row>
    <row r="189" spans="1:79" ht="35.1" customHeight="1" thickBot="1">
      <c r="I189" s="178"/>
      <c r="J189" s="178"/>
      <c r="K189" s="178"/>
      <c r="L189" s="178"/>
      <c r="M189" s="178"/>
      <c r="N189" s="178"/>
      <c r="O189" s="178"/>
      <c r="P189" s="178"/>
      <c r="Q189" s="178"/>
      <c r="R189" s="178"/>
      <c r="S189" s="178"/>
      <c r="T189" s="178"/>
      <c r="U189" s="178"/>
      <c r="V189" s="869" t="str">
        <f>'Translate&amp;Prices&amp;Logo'!$O$256</f>
        <v>Numer zamówienia</v>
      </c>
      <c r="W189" s="869"/>
      <c r="X189" s="869"/>
      <c r="Y189" s="869"/>
      <c r="Z189" s="869"/>
      <c r="AA189" s="113"/>
      <c r="AB189" s="866"/>
      <c r="AC189" s="867"/>
      <c r="AD189" s="867"/>
      <c r="AE189" s="867"/>
      <c r="AF189" s="867"/>
      <c r="AG189" s="867"/>
      <c r="AH189" s="867"/>
      <c r="AI189" s="867"/>
      <c r="AJ189" s="867"/>
      <c r="AK189" s="867"/>
      <c r="AL189" s="867"/>
      <c r="AM189" s="867"/>
      <c r="AN189" s="868"/>
      <c r="AQ189" s="880" t="s">
        <v>1732</v>
      </c>
    </row>
    <row r="190" spans="1:79" ht="16.350000000000001" customHeight="1">
      <c r="V190" s="865" t="str">
        <f>'Translate&amp;Prices&amp;Logo'!$O$542</f>
        <v>Połączenie 2 profili</v>
      </c>
      <c r="W190" s="865"/>
      <c r="X190" s="865"/>
      <c r="Y190" s="865"/>
      <c r="Z190" s="865"/>
      <c r="AA190" s="113"/>
      <c r="AB190" s="879" t="str">
        <f>IF(kombinace_6!$H$1=TRUE,"Tak","Nie")</f>
        <v>Nie</v>
      </c>
      <c r="AC190" s="879"/>
      <c r="AD190" s="879"/>
      <c r="AE190" s="879"/>
      <c r="AF190" s="879"/>
      <c r="AG190" s="879"/>
      <c r="AH190" s="879"/>
      <c r="AI190" s="879"/>
      <c r="AJ190" s="879"/>
      <c r="AK190" s="879"/>
      <c r="AL190" s="879"/>
      <c r="AM190" s="879"/>
      <c r="AN190" s="879"/>
      <c r="AQ190" s="880"/>
    </row>
    <row r="191" spans="1:79" ht="16.350000000000001" customHeight="1">
      <c r="V191" s="865" t="str">
        <f>'Translate&amp;Prices&amp;Logo'!$O$172</f>
        <v>Rodzaj profilu</v>
      </c>
      <c r="W191" s="865"/>
      <c r="X191" s="865"/>
      <c r="Y191" s="865"/>
      <c r="Z191" s="865"/>
      <c r="AA191" s="113"/>
      <c r="AB191" s="864">
        <f>IFERROR(VLOOKUP(Ram_6!$H$8,'Translate&amp;Prices&amp;Logo'!AA:AB,2,0),Ram_6!$H$8)</f>
        <v>0</v>
      </c>
      <c r="AC191" s="864"/>
      <c r="AD191" s="864"/>
      <c r="AE191" s="864"/>
      <c r="AF191" s="864"/>
      <c r="AG191" s="864"/>
      <c r="AH191" s="864"/>
      <c r="AI191" s="864"/>
      <c r="AJ191" s="864"/>
      <c r="AK191" s="864"/>
      <c r="AL191" s="864"/>
      <c r="AM191" s="864"/>
      <c r="AN191" s="864"/>
      <c r="AQ191" s="880"/>
    </row>
    <row r="192" spans="1:79" ht="16.350000000000001" customHeight="1">
      <c r="V192" s="865" t="str">
        <f>'Translate&amp;Prices&amp;Logo'!$O$543</f>
        <v>Szprosy</v>
      </c>
      <c r="W192" s="865"/>
      <c r="X192" s="865"/>
      <c r="Y192" s="865"/>
      <c r="Z192" s="865"/>
      <c r="AA192" s="113"/>
      <c r="AB192" s="864" t="str">
        <f>IFERROR(VLOOKUP(Ram_6!$AU$10,AT192:AU195,2,0),0)</f>
        <v>Nie</v>
      </c>
      <c r="AC192" s="864"/>
      <c r="AD192" s="864"/>
      <c r="AE192" s="864"/>
      <c r="AF192" s="864"/>
      <c r="AG192" s="864"/>
      <c r="AH192" s="864"/>
      <c r="AI192" s="864"/>
      <c r="AJ192" s="864"/>
      <c r="AK192" s="864"/>
      <c r="AL192" s="864"/>
      <c r="AM192" s="864"/>
      <c r="AN192" s="864"/>
      <c r="AQ192" s="880"/>
      <c r="AT192">
        <v>0</v>
      </c>
      <c r="AU192" t="str">
        <f>'Translate&amp;Prices&amp;Logo'!$O$557</f>
        <v>Nie</v>
      </c>
      <c r="AY192">
        <v>2</v>
      </c>
      <c r="AZ192" t="str">
        <f>'Translate&amp;Prices&amp;Logo'!$O$551</f>
        <v>Zawiasy</v>
      </c>
      <c r="BC192" s="1" t="s">
        <v>69</v>
      </c>
      <c r="BD192" s="1" t="s">
        <v>222</v>
      </c>
      <c r="BH192" s="1" t="s">
        <v>52</v>
      </c>
      <c r="BI192" s="1" t="s">
        <v>216</v>
      </c>
      <c r="BL192" s="1" t="s">
        <v>107</v>
      </c>
      <c r="BM192" s="1" t="s">
        <v>253</v>
      </c>
      <c r="BR192" s="1" t="s">
        <v>113</v>
      </c>
      <c r="BS192" s="1" t="s">
        <v>1239</v>
      </c>
      <c r="BW192" s="1">
        <v>1</v>
      </c>
      <c r="BX192" s="1" t="str">
        <f>'Translate&amp;Prices&amp;Logo'!$O$100</f>
        <v>Bez modyfikacji</v>
      </c>
      <c r="BZ192" t="s">
        <v>1039</v>
      </c>
      <c r="CA192" t="s">
        <v>1439</v>
      </c>
    </row>
    <row r="193" spans="18:79" ht="16.350000000000001" customHeight="1">
      <c r="V193" s="183"/>
      <c r="W193" s="183"/>
      <c r="X193" s="183"/>
      <c r="Y193" s="183"/>
      <c r="Z193" s="183"/>
      <c r="AA193" s="113"/>
      <c r="AB193" s="881" t="str">
        <f>'Translate&amp;Prices&amp;Logo'!$O$558</f>
        <v>Poziomo (termin dostawy 4 tygodnie)</v>
      </c>
      <c r="AC193" s="881"/>
      <c r="AD193" s="881"/>
      <c r="AE193" s="881"/>
      <c r="AF193" s="881"/>
      <c r="AG193" s="881"/>
      <c r="AH193" s="881"/>
      <c r="AI193" s="881" t="str">
        <f>'Translate&amp;Prices&amp;Logo'!$O$559</f>
        <v>Pionowo (termin dostawy 4 tygodnie)</v>
      </c>
      <c r="AJ193" s="881"/>
      <c r="AK193" s="881"/>
      <c r="AL193" s="881"/>
      <c r="AM193" s="881"/>
      <c r="AN193" s="881"/>
      <c r="AQ193" s="880"/>
      <c r="AT193">
        <v>1</v>
      </c>
      <c r="AU193" t="str">
        <f>'Translate&amp;Prices&amp;Logo'!$O$558</f>
        <v>Poziomo (termin dostawy 4 tygodnie)</v>
      </c>
      <c r="AY193">
        <v>3</v>
      </c>
      <c r="AZ193" t="str">
        <f>'Translate&amp;Prices&amp;Logo'!$O$552</f>
        <v>Podnośniki</v>
      </c>
      <c r="BC193" s="1" t="s">
        <v>70</v>
      </c>
      <c r="BD193" s="1" t="s">
        <v>223</v>
      </c>
      <c r="BH193" s="1" t="s">
        <v>51</v>
      </c>
      <c r="BI193" s="1" t="s">
        <v>217</v>
      </c>
      <c r="BL193" s="1" t="s">
        <v>108</v>
      </c>
      <c r="BM193" s="1" t="s">
        <v>254</v>
      </c>
      <c r="BR193" s="1" t="s">
        <v>114</v>
      </c>
      <c r="BS193" s="1" t="s">
        <v>1424</v>
      </c>
      <c r="BW193" s="1">
        <v>2</v>
      </c>
      <c r="BX193" s="1" t="str">
        <f>'Translate&amp;Prices&amp;Logo'!$O$101</f>
        <v>Hartowane</v>
      </c>
      <c r="BZ193" t="s">
        <v>1042</v>
      </c>
      <c r="CA193" t="s">
        <v>1440</v>
      </c>
    </row>
    <row r="194" spans="18:79" ht="16.350000000000001" customHeight="1">
      <c r="V194" s="865" t="str">
        <f>('Translate&amp;Prices&amp;Logo'!$O$543)&amp;" "&amp;"("&amp;'Translate&amp;Prices&amp;Logo'!$O$174&amp;")"</f>
        <v>Szprosy (Ilość sztuk)</v>
      </c>
      <c r="W194" s="865"/>
      <c r="X194" s="865"/>
      <c r="Y194" s="865"/>
      <c r="Z194" s="865"/>
      <c r="AA194" s="113"/>
      <c r="AB194" s="864">
        <f>Ram_6!$H$11</f>
        <v>0</v>
      </c>
      <c r="AC194" s="864"/>
      <c r="AD194" s="864"/>
      <c r="AE194" s="864"/>
      <c r="AF194" s="864"/>
      <c r="AG194" s="864"/>
      <c r="AH194" s="864"/>
      <c r="AI194" s="864">
        <f>Ram_6!$M$11</f>
        <v>0</v>
      </c>
      <c r="AJ194" s="864"/>
      <c r="AK194" s="864"/>
      <c r="AL194" s="864"/>
      <c r="AM194" s="864"/>
      <c r="AN194" s="864"/>
      <c r="AQ194" s="880"/>
      <c r="AT194">
        <v>2</v>
      </c>
      <c r="AU194" t="str">
        <f>'Translate&amp;Prices&amp;Logo'!$O$559</f>
        <v>Pionowo (termin dostawy 4 tygodnie)</v>
      </c>
      <c r="BC194" s="1" t="s">
        <v>71</v>
      </c>
      <c r="BD194" s="1" t="s">
        <v>1254</v>
      </c>
      <c r="BH194" s="1" t="s">
        <v>160</v>
      </c>
      <c r="BI194" s="1" t="s">
        <v>216</v>
      </c>
      <c r="BL194" s="1" t="s">
        <v>110</v>
      </c>
      <c r="BM194" s="1" t="s">
        <v>255</v>
      </c>
      <c r="BR194" s="1" t="s">
        <v>104</v>
      </c>
      <c r="BS194" s="1" t="s">
        <v>250</v>
      </c>
      <c r="BW194" s="1">
        <v>3</v>
      </c>
      <c r="BX194" s="1" t="str">
        <f>'Translate&amp;Prices&amp;Logo'!$O$102</f>
        <v>Folia</v>
      </c>
      <c r="BZ194" t="s">
        <v>1045</v>
      </c>
      <c r="CA194" t="s">
        <v>1441</v>
      </c>
    </row>
    <row r="195" spans="18:79" ht="16.350000000000001" customHeight="1">
      <c r="V195" s="865" t="str">
        <f>'Translate&amp;Prices&amp;Logo'!$O$258</f>
        <v>Typ okucia</v>
      </c>
      <c r="W195" s="865"/>
      <c r="X195" s="865"/>
      <c r="Y195" s="865"/>
      <c r="Z195" s="865"/>
      <c r="AA195" s="113"/>
      <c r="AB195" s="864">
        <f>IFERROR(VLOOKUP(Ram_6!$AU$9,AY192:AZ193,2,0),0)</f>
        <v>0</v>
      </c>
      <c r="AC195" s="864"/>
      <c r="AD195" s="864"/>
      <c r="AE195" s="864"/>
      <c r="AF195" s="864"/>
      <c r="AG195" s="864"/>
      <c r="AH195" s="864"/>
      <c r="AI195" s="864"/>
      <c r="AJ195" s="864"/>
      <c r="AK195" s="864"/>
      <c r="AL195" s="864"/>
      <c r="AM195" s="864"/>
      <c r="AN195" s="864"/>
      <c r="AQ195" s="880"/>
      <c r="AT195">
        <v>3</v>
      </c>
      <c r="AU195" t="str">
        <f>'Translate&amp;Prices&amp;Logo'!$O$560</f>
        <v>Poziomo i pionowo (termin dostawy 4 tygodnie)</v>
      </c>
      <c r="BC195" s="1" t="s">
        <v>69</v>
      </c>
      <c r="BD195" s="1" t="s">
        <v>222</v>
      </c>
      <c r="BH195" s="1" t="s">
        <v>161</v>
      </c>
      <c r="BI195" s="1" t="s">
        <v>217</v>
      </c>
      <c r="BL195" s="1" t="s">
        <v>109</v>
      </c>
      <c r="BM195" s="1" t="s">
        <v>256</v>
      </c>
      <c r="BR195" s="1" t="s">
        <v>103</v>
      </c>
      <c r="BS195" s="1" t="s">
        <v>251</v>
      </c>
      <c r="BZ195" t="s">
        <v>1328</v>
      </c>
      <c r="CA195" t="s">
        <v>1439</v>
      </c>
    </row>
    <row r="196" spans="18:79" ht="16.350000000000001" customHeight="1">
      <c r="V196" s="865" t="str">
        <f>'Translate&amp;Prices&amp;Logo'!$O$544</f>
        <v>Marka okucia</v>
      </c>
      <c r="W196" s="865"/>
      <c r="X196" s="865"/>
      <c r="Y196" s="865"/>
      <c r="Z196" s="865"/>
      <c r="AA196" s="113"/>
      <c r="AB196" s="864">
        <f>Ram_6!$H$13</f>
        <v>0</v>
      </c>
      <c r="AC196" s="864"/>
      <c r="AD196" s="864"/>
      <c r="AE196" s="864"/>
      <c r="AF196" s="864"/>
      <c r="AG196" s="864"/>
      <c r="AH196" s="864"/>
      <c r="AI196" s="864"/>
      <c r="AJ196" s="864"/>
      <c r="AK196" s="864"/>
      <c r="AL196" s="864"/>
      <c r="AM196" s="864"/>
      <c r="AN196" s="864"/>
      <c r="AQ196" s="880"/>
      <c r="BC196" s="1" t="s">
        <v>70</v>
      </c>
      <c r="BD196" s="1" t="s">
        <v>223</v>
      </c>
      <c r="BH196" s="1" t="s">
        <v>410</v>
      </c>
      <c r="BI196" s="1" t="s">
        <v>216</v>
      </c>
      <c r="BL196" s="1" t="s">
        <v>111</v>
      </c>
      <c r="BM196" s="1" t="s">
        <v>1425</v>
      </c>
      <c r="BR196" s="1" t="s">
        <v>1241</v>
      </c>
      <c r="BS196" s="1" t="s">
        <v>1239</v>
      </c>
      <c r="BZ196" t="s">
        <v>1329</v>
      </c>
      <c r="CA196" t="s">
        <v>1440</v>
      </c>
    </row>
    <row r="197" spans="18:79" ht="16.350000000000001" customHeight="1" thickBot="1">
      <c r="V197" s="865" t="str">
        <f>'Translate&amp;Prices&amp;Logo'!$O$546</f>
        <v>Nałożenie</v>
      </c>
      <c r="W197" s="865"/>
      <c r="X197" s="865"/>
      <c r="Y197" s="865"/>
      <c r="Z197" s="865"/>
      <c r="AA197" s="113"/>
      <c r="AB197" s="864">
        <f>IFERROR(VLOOKUP(Ram_6!$H$14,BC192:BD206,2,0),0)</f>
        <v>0</v>
      </c>
      <c r="AC197" s="864"/>
      <c r="AD197" s="864"/>
      <c r="AE197" s="864"/>
      <c r="AF197" s="864"/>
      <c r="AG197" s="864"/>
      <c r="AH197" s="864"/>
      <c r="AI197" s="864"/>
      <c r="AJ197" s="864"/>
      <c r="AK197" s="864"/>
      <c r="AL197" s="864"/>
      <c r="AM197" s="864"/>
      <c r="AN197" s="864"/>
      <c r="AQ197" s="880"/>
      <c r="BC197" s="1" t="s">
        <v>71</v>
      </c>
      <c r="BD197" s="1" t="s">
        <v>1254</v>
      </c>
      <c r="BH197" s="1" t="s">
        <v>283</v>
      </c>
      <c r="BI197" s="1" t="s">
        <v>217</v>
      </c>
      <c r="BL197" s="1" t="s">
        <v>193</v>
      </c>
      <c r="BM197" s="1" t="s">
        <v>253</v>
      </c>
      <c r="BR197" s="1" t="s">
        <v>114</v>
      </c>
      <c r="BS197" s="1" t="s">
        <v>1424</v>
      </c>
      <c r="BZ197" t="s">
        <v>1330</v>
      </c>
      <c r="CA197" t="s">
        <v>1441</v>
      </c>
    </row>
    <row r="198" spans="18:79" ht="16.350000000000001" customHeight="1">
      <c r="R198" s="875">
        <f>Ram_6!AR14</f>
        <v>0</v>
      </c>
      <c r="V198" s="865" t="str">
        <f>'Translate&amp;Prices&amp;Logo'!$O$545</f>
        <v>Wariant okucia</v>
      </c>
      <c r="W198" s="865"/>
      <c r="X198" s="865"/>
      <c r="Y198" s="865"/>
      <c r="Z198" s="865"/>
      <c r="AA198" s="113"/>
      <c r="AB198" s="864">
        <f>IFERROR(VLOOKUP(Ram_6!$H$15,kombinace_1!$ED:$EE,2,0),Ram_6!$H$15)</f>
        <v>0</v>
      </c>
      <c r="AC198" s="864"/>
      <c r="AD198" s="864"/>
      <c r="AE198" s="864"/>
      <c r="AF198" s="864"/>
      <c r="AG198" s="864"/>
      <c r="AH198" s="864" t="str">
        <f>IF(AB198='Translate&amp;Prices&amp;Logo'!C698,VLOOKUP(Ram_6!H17,'Translate&amp;Prices&amp;Logo'!C699:D718,2,0),"")</f>
        <v/>
      </c>
      <c r="AI198" s="864"/>
      <c r="AJ198" s="864"/>
      <c r="AK198" s="864"/>
      <c r="AL198" s="864"/>
      <c r="AM198" s="864"/>
      <c r="AN198" s="864"/>
      <c r="AQ198" s="880"/>
      <c r="BC198" s="1" t="s">
        <v>222</v>
      </c>
      <c r="BD198" s="1" t="s">
        <v>222</v>
      </c>
      <c r="BH198" s="1" t="s">
        <v>1468</v>
      </c>
      <c r="BI198" s="1" t="s">
        <v>216</v>
      </c>
      <c r="BL198" s="1" t="s">
        <v>194</v>
      </c>
      <c r="BM198" s="1" t="s">
        <v>254</v>
      </c>
      <c r="BR198" s="1" t="s">
        <v>189</v>
      </c>
      <c r="BS198" s="1" t="s">
        <v>250</v>
      </c>
      <c r="BZ198" t="s">
        <v>1439</v>
      </c>
      <c r="CA198" t="s">
        <v>1439</v>
      </c>
    </row>
    <row r="199" spans="18:79" ht="16.350000000000001" customHeight="1">
      <c r="R199" s="876">
        <f>Ram_1!AR195</f>
        <v>0</v>
      </c>
      <c r="V199" s="865" t="str">
        <f>'Translate&amp;Prices&amp;Logo'!$O$218</f>
        <v>Wybierz pozycję ramki</v>
      </c>
      <c r="W199" s="865"/>
      <c r="X199" s="865"/>
      <c r="Y199" s="865"/>
      <c r="Z199" s="865"/>
      <c r="AA199" s="864">
        <f>IFERROR(VLOOKUP(Ram_6!$F$16,BH192:BI201,2,0),0)</f>
        <v>0</v>
      </c>
      <c r="AB199" s="864"/>
      <c r="AC199" s="864"/>
      <c r="AD199" s="864"/>
      <c r="AE199" s="864"/>
      <c r="AF199" s="865" t="str">
        <f>'Translate&amp;Prices&amp;Logo'!$O$232</f>
        <v>Rodzaj drugiej ramki</v>
      </c>
      <c r="AG199" s="865"/>
      <c r="AH199" s="865"/>
      <c r="AI199" s="865"/>
      <c r="AJ199" s="865"/>
      <c r="AK199" s="864">
        <f>IFERROR(VLOOKUP(Ram_6!$N$16,BL192:BM216,2,0),0)</f>
        <v>0</v>
      </c>
      <c r="AL199" s="864"/>
      <c r="AM199" s="864"/>
      <c r="AN199" s="864"/>
      <c r="AQ199" s="880"/>
      <c r="BC199" s="1" t="s">
        <v>223</v>
      </c>
      <c r="BD199" s="1" t="s">
        <v>223</v>
      </c>
      <c r="BH199" s="1" t="s">
        <v>1469</v>
      </c>
      <c r="BI199" s="1" t="s">
        <v>217</v>
      </c>
      <c r="BL199" s="1" t="s">
        <v>195</v>
      </c>
      <c r="BM199" s="1" t="s">
        <v>255</v>
      </c>
      <c r="BR199" s="1" t="s">
        <v>190</v>
      </c>
      <c r="BS199" s="1" t="s">
        <v>251</v>
      </c>
      <c r="BZ199" t="s">
        <v>1440</v>
      </c>
      <c r="CA199" t="s">
        <v>1440</v>
      </c>
    </row>
    <row r="200" spans="18:79" ht="16.350000000000001" customHeight="1">
      <c r="R200" s="876">
        <f>Ram_1!AR196</f>
        <v>0</v>
      </c>
      <c r="V200" s="865" t="str">
        <f>IF(AB195='Translate&amp;Prices&amp;Logo'!O551,'Translate&amp;Prices&amp;Logo'!O238,'Translate&amp;Prices&amp;Logo'!$O$226)</f>
        <v>Umieszczenie</v>
      </c>
      <c r="W200" s="865"/>
      <c r="X200" s="865"/>
      <c r="Y200" s="865"/>
      <c r="Z200" s="865"/>
      <c r="AA200" s="113"/>
      <c r="AB200" s="864" t="str">
        <f>IFERROR((IF(Ram_6!H12='Translate&amp;Prices&amp;Logo'!B552,VLOOKUP(Ram_6!$N$16,BR48:BS67,2,0),VLOOKUP(Ram_6!$H$17,BR48:BS67,2,0))),"")</f>
        <v/>
      </c>
      <c r="AC200" s="864"/>
      <c r="AD200" s="864"/>
      <c r="AE200" s="864"/>
      <c r="AF200" s="864"/>
      <c r="AG200" s="864"/>
      <c r="AH200" s="864"/>
      <c r="AI200" s="864"/>
      <c r="AJ200" s="864"/>
      <c r="AK200" s="864"/>
      <c r="AL200" s="864"/>
      <c r="AM200" s="864"/>
      <c r="AN200" s="864"/>
      <c r="AQ200" s="880"/>
      <c r="BC200" s="1" t="s">
        <v>1254</v>
      </c>
      <c r="BD200" s="1" t="s">
        <v>1254</v>
      </c>
      <c r="BH200" s="1" t="s">
        <v>216</v>
      </c>
      <c r="BI200" s="1" t="s">
        <v>216</v>
      </c>
      <c r="BL200" s="1" t="s">
        <v>196</v>
      </c>
      <c r="BM200" s="1" t="s">
        <v>256</v>
      </c>
      <c r="BR200" s="1" t="s">
        <v>1239</v>
      </c>
      <c r="BS200" s="1" t="s">
        <v>1239</v>
      </c>
      <c r="BZ200" t="s">
        <v>1441</v>
      </c>
      <c r="CA200" t="s">
        <v>1441</v>
      </c>
    </row>
    <row r="201" spans="18:79" ht="16.350000000000001" customHeight="1">
      <c r="R201" s="876">
        <f>Ram_1!AR197</f>
        <v>0</v>
      </c>
      <c r="V201" s="865" t="str">
        <f>'Translate&amp;Prices&amp;Logo'!$O$547</f>
        <v>Zawiasy do podnośników</v>
      </c>
      <c r="W201" s="865"/>
      <c r="X201" s="865"/>
      <c r="Y201" s="865"/>
      <c r="Z201" s="865"/>
      <c r="AA201" s="113"/>
      <c r="AB201" s="864" t="str">
        <f>IFERROR((VLOOKUP(Ram_6!$H$18,CJ:CK,2,0)),"")</f>
        <v/>
      </c>
      <c r="AC201" s="864"/>
      <c r="AD201" s="864"/>
      <c r="AE201" s="864"/>
      <c r="AF201" s="864"/>
      <c r="AG201" s="864"/>
      <c r="AH201" s="864"/>
      <c r="AI201" s="864"/>
      <c r="AJ201" s="864"/>
      <c r="AK201" s="864"/>
      <c r="AL201" s="864"/>
      <c r="AM201" s="864"/>
      <c r="AN201" s="864"/>
      <c r="AQ201" s="880"/>
      <c r="BC201" s="1" t="s">
        <v>286</v>
      </c>
      <c r="BD201" s="1" t="s">
        <v>222</v>
      </c>
      <c r="BH201" s="1" t="s">
        <v>217</v>
      </c>
      <c r="BI201" s="1" t="s">
        <v>217</v>
      </c>
      <c r="BL201" s="1" t="s">
        <v>197</v>
      </c>
      <c r="BM201" s="1" t="s">
        <v>1425</v>
      </c>
      <c r="BR201" s="1" t="s">
        <v>1424</v>
      </c>
      <c r="BS201" s="1" t="s">
        <v>1424</v>
      </c>
      <c r="BZ201" t="s">
        <v>1331</v>
      </c>
      <c r="CA201" t="s">
        <v>1439</v>
      </c>
    </row>
    <row r="202" spans="18:79" ht="16.350000000000001" customHeight="1">
      <c r="R202" s="876">
        <f>Ram_1!AR198</f>
        <v>0</v>
      </c>
      <c r="V202" s="865" t="str">
        <f>'Translate&amp;Prices&amp;Logo'!$O$223</f>
        <v>Ilość zawiasów na 1 ramkę</v>
      </c>
      <c r="W202" s="865"/>
      <c r="X202" s="865"/>
      <c r="Y202" s="865"/>
      <c r="Z202" s="865"/>
      <c r="AA202" s="113"/>
      <c r="AB202" s="864">
        <f>Ram_6!$H$19</f>
        <v>0</v>
      </c>
      <c r="AC202" s="864"/>
      <c r="AD202" s="864"/>
      <c r="AE202" s="864"/>
      <c r="AF202" s="864"/>
      <c r="AG202" s="864"/>
      <c r="AH202" s="864"/>
      <c r="AI202" s="864"/>
      <c r="AJ202" s="864"/>
      <c r="AK202" s="864"/>
      <c r="AL202" s="864"/>
      <c r="AM202" s="864"/>
      <c r="AN202" s="864"/>
      <c r="AQ202" s="880"/>
      <c r="BC202" s="1" t="s">
        <v>287</v>
      </c>
      <c r="BD202" s="1" t="s">
        <v>223</v>
      </c>
      <c r="BL202" s="1" t="s">
        <v>253</v>
      </c>
      <c r="BM202" s="1" t="s">
        <v>253</v>
      </c>
      <c r="BR202" s="1" t="s">
        <v>250</v>
      </c>
      <c r="BS202" s="1" t="s">
        <v>250</v>
      </c>
      <c r="BZ202" t="s">
        <v>1414</v>
      </c>
      <c r="CA202" t="s">
        <v>1440</v>
      </c>
    </row>
    <row r="203" spans="18:79" ht="16.350000000000001" customHeight="1">
      <c r="R203" s="877" t="str">
        <f>'Translate&amp;Prices&amp;Logo'!$O$176</f>
        <v>Wysokość</v>
      </c>
      <c r="V203" s="865" t="e">
        <f>'Translate&amp;Prices&amp;Logo'!$O$242&amp;" "&amp;VLOOKUP(Ram_6!H17,kombinace_1!$BY$32:$CC$35,5,0)</f>
        <v>#N/A</v>
      </c>
      <c r="W203" s="865"/>
      <c r="X203" s="865"/>
      <c r="Y203" s="865"/>
      <c r="Z203" s="865"/>
      <c r="AA203" s="864">
        <f>Ram_6!$F$20</f>
        <v>100</v>
      </c>
      <c r="AB203" s="864"/>
      <c r="AC203" s="864"/>
      <c r="AD203" s="864"/>
      <c r="AE203" s="864"/>
      <c r="AF203" s="865" t="e">
        <f>'Translate&amp;Prices&amp;Logo'!$O$242&amp;" "&amp;VLOOKUP(Ram_6!H17,kombinace_1!$BY$32:$CD$35,6,0)</f>
        <v>#N/A</v>
      </c>
      <c r="AG203" s="865"/>
      <c r="AH203" s="865"/>
      <c r="AI203" s="865"/>
      <c r="AJ203" s="865"/>
      <c r="AK203" s="864">
        <f>Ram_6!$N$20</f>
        <v>100</v>
      </c>
      <c r="AL203" s="864"/>
      <c r="AM203" s="864"/>
      <c r="AN203" s="864"/>
      <c r="AQ203" s="880"/>
      <c r="BC203" s="1" t="s">
        <v>288</v>
      </c>
      <c r="BD203" s="1" t="s">
        <v>1254</v>
      </c>
      <c r="BL203" s="1" t="s">
        <v>254</v>
      </c>
      <c r="BM203" s="1" t="s">
        <v>254</v>
      </c>
      <c r="BR203" s="1" t="s">
        <v>251</v>
      </c>
      <c r="BS203" s="1" t="s">
        <v>251</v>
      </c>
      <c r="BZ203" t="s">
        <v>1332</v>
      </c>
      <c r="CA203" t="s">
        <v>1441</v>
      </c>
    </row>
    <row r="204" spans="18:79" ht="16.350000000000001" customHeight="1">
      <c r="R204" s="877" t="e">
        <f>Ram_1!#REF!</f>
        <v>#REF!</v>
      </c>
      <c r="V204" s="308" t="str">
        <f>'Translate&amp;Prices&amp;Logo'!$O$653</f>
        <v>Wypełnienie z siatki</v>
      </c>
      <c r="W204" s="183"/>
      <c r="X204" s="183"/>
      <c r="Y204" s="183"/>
      <c r="Z204" s="183"/>
      <c r="AA204" s="113"/>
      <c r="AB204" s="863" t="str">
        <f>IF(kombinace_6!FC2=TRUE,"Tak","Nie")</f>
        <v>Nie</v>
      </c>
      <c r="AC204" s="863"/>
      <c r="AD204" s="863"/>
      <c r="AE204" s="863"/>
      <c r="AF204" s="863"/>
      <c r="AG204" s="863"/>
      <c r="AH204" s="863"/>
      <c r="AI204" s="863"/>
      <c r="AJ204" s="863"/>
      <c r="AK204" s="863"/>
      <c r="AL204" s="863"/>
      <c r="AM204" s="863"/>
      <c r="AN204" s="863"/>
      <c r="AQ204" s="880"/>
      <c r="BC204" s="1" t="s">
        <v>1716</v>
      </c>
      <c r="BD204" s="1" t="s">
        <v>222</v>
      </c>
      <c r="BL204" s="1" t="s">
        <v>255</v>
      </c>
      <c r="BM204" s="1" t="s">
        <v>255</v>
      </c>
      <c r="BR204" s="1" t="s">
        <v>1240</v>
      </c>
      <c r="BS204" s="1" t="s">
        <v>1239</v>
      </c>
      <c r="BZ204" t="s">
        <v>1520</v>
      </c>
      <c r="CA204" t="s">
        <v>1439</v>
      </c>
    </row>
    <row r="205" spans="18:79" ht="16.350000000000001" customHeight="1">
      <c r="R205" s="877" t="e">
        <f>Ram_1!#REF!</f>
        <v>#REF!</v>
      </c>
      <c r="V205" s="865" t="str">
        <f>'Translate&amp;Prices&amp;Logo'!$O$173</f>
        <v>Rodzaj szkła</v>
      </c>
      <c r="W205" s="865"/>
      <c r="X205" s="865"/>
      <c r="Y205" s="865"/>
      <c r="Z205" s="865"/>
      <c r="AA205" s="113"/>
      <c r="AB205" s="864" t="str">
        <f>IFERROR(VLOOKUP(kombinace_6!$V$1,BW192:BX194,2,0),0)</f>
        <v>Bez modyfikacji</v>
      </c>
      <c r="AC205" s="864"/>
      <c r="AD205" s="864"/>
      <c r="AE205" s="864"/>
      <c r="AF205" s="864"/>
      <c r="AG205" s="864"/>
      <c r="AH205" s="864"/>
      <c r="AI205" s="864"/>
      <c r="AJ205" s="864"/>
      <c r="AK205" s="864"/>
      <c r="AL205" s="864"/>
      <c r="AM205" s="864"/>
      <c r="AN205" s="864"/>
      <c r="AQ205" s="880"/>
      <c r="BC205" s="1" t="s">
        <v>1573</v>
      </c>
      <c r="BD205" s="1" t="s">
        <v>223</v>
      </c>
      <c r="BL205" s="1" t="s">
        <v>256</v>
      </c>
      <c r="BM205" s="1" t="s">
        <v>256</v>
      </c>
      <c r="BR205" s="1" t="s">
        <v>1242</v>
      </c>
      <c r="BS205" s="1" t="s">
        <v>1424</v>
      </c>
      <c r="BZ205" t="s">
        <v>1521</v>
      </c>
      <c r="CA205" t="s">
        <v>1440</v>
      </c>
    </row>
    <row r="206" spans="18:79" ht="16.350000000000001" customHeight="1">
      <c r="R206" s="877" t="e">
        <f>Ram_1!#REF!</f>
        <v>#REF!</v>
      </c>
      <c r="V206" s="865" t="str">
        <f>'Translate&amp;Prices&amp;Logo'!$O$562</f>
        <v>Rodzaj folii</v>
      </c>
      <c r="W206" s="865"/>
      <c r="X206" s="865"/>
      <c r="Y206" s="865"/>
      <c r="Z206" s="865"/>
      <c r="AA206" s="113"/>
      <c r="AB206" s="864">
        <f>IFERROR(VLOOKUP(Ram_6!$H$24,BZ192:CA206,2,0),0)</f>
        <v>0</v>
      </c>
      <c r="AC206" s="864"/>
      <c r="AD206" s="864"/>
      <c r="AE206" s="864"/>
      <c r="AF206" s="864"/>
      <c r="AG206" s="864"/>
      <c r="AH206" s="864"/>
      <c r="AI206" s="864"/>
      <c r="AJ206" s="864"/>
      <c r="AK206" s="864"/>
      <c r="AL206" s="864"/>
      <c r="AM206" s="864"/>
      <c r="AN206" s="864"/>
      <c r="AQ206" s="880"/>
      <c r="BC206" s="1" t="s">
        <v>991</v>
      </c>
      <c r="BD206" s="1" t="s">
        <v>1254</v>
      </c>
      <c r="BL206" s="1" t="s">
        <v>1425</v>
      </c>
      <c r="BM206" s="1" t="s">
        <v>1425</v>
      </c>
      <c r="BR206" s="1" t="s">
        <v>312</v>
      </c>
      <c r="BS206" s="1" t="s">
        <v>250</v>
      </c>
      <c r="BZ206" t="s">
        <v>1522</v>
      </c>
      <c r="CA206" t="s">
        <v>1441</v>
      </c>
    </row>
    <row r="207" spans="18:79" ht="16.350000000000001" customHeight="1" thickBot="1">
      <c r="R207" s="878" t="e">
        <f>Ram_1!#REF!</f>
        <v>#REF!</v>
      </c>
      <c r="V207" s="865" t="str">
        <f>'Translate&amp;Prices&amp;Logo'!$O$173</f>
        <v>Rodzaj szkła</v>
      </c>
      <c r="W207" s="865"/>
      <c r="X207" s="865"/>
      <c r="Y207" s="865"/>
      <c r="Z207" s="865"/>
      <c r="AA207" s="113"/>
      <c r="AB207" s="864">
        <f>IFERROR(VLOOKUP(Ram_6!$H$25,kombinace_1!DT:DU,2,0),Ram_6!$H$25)</f>
        <v>0</v>
      </c>
      <c r="AC207" s="864"/>
      <c r="AD207" s="864"/>
      <c r="AE207" s="864"/>
      <c r="AF207" s="864"/>
      <c r="AG207" s="864"/>
      <c r="AH207" s="864"/>
      <c r="AI207" s="864"/>
      <c r="AJ207" s="864"/>
      <c r="AK207" s="864"/>
      <c r="AL207" s="864"/>
      <c r="AM207" s="864"/>
      <c r="AN207" s="864"/>
      <c r="AQ207" s="880"/>
      <c r="BL207" s="1" t="s">
        <v>315</v>
      </c>
      <c r="BM207" s="1" t="s">
        <v>253</v>
      </c>
      <c r="BR207" s="1" t="s">
        <v>313</v>
      </c>
      <c r="BS207" s="1" t="s">
        <v>251</v>
      </c>
    </row>
    <row r="208" spans="18:79" ht="16.350000000000001" customHeight="1">
      <c r="V208" s="865" t="str">
        <f>'Translate&amp;Prices&amp;Logo'!$O$549</f>
        <v>Rozstaw uchwytu (mm)</v>
      </c>
      <c r="W208" s="865"/>
      <c r="X208" s="865"/>
      <c r="Y208" s="865"/>
      <c r="Z208" s="865"/>
      <c r="AA208" s="113"/>
      <c r="AB208" s="864">
        <f>Ram_6!$H$26</f>
        <v>0</v>
      </c>
      <c r="AC208" s="864"/>
      <c r="AD208" s="864"/>
      <c r="AE208" s="864"/>
      <c r="AF208" s="864"/>
      <c r="AG208" s="864"/>
      <c r="AH208" s="864"/>
      <c r="AI208" s="864"/>
      <c r="AJ208" s="864"/>
      <c r="AK208" s="864"/>
      <c r="AL208" s="864"/>
      <c r="AM208" s="864"/>
      <c r="AN208" s="864"/>
      <c r="AQ208" s="880"/>
      <c r="BL208" s="1" t="s">
        <v>316</v>
      </c>
      <c r="BM208" s="1" t="s">
        <v>254</v>
      </c>
      <c r="BR208" s="1" t="s">
        <v>1475</v>
      </c>
      <c r="BS208" s="1" t="s">
        <v>1239</v>
      </c>
    </row>
    <row r="209" spans="1:71" ht="16.350000000000001" customHeight="1">
      <c r="V209" s="865" t="str">
        <f>'Translate&amp;Prices&amp;Logo'!$O$550</f>
        <v>Umieszczenie uchwytu</v>
      </c>
      <c r="W209" s="865"/>
      <c r="X209" s="865"/>
      <c r="Y209" s="865"/>
      <c r="Z209" s="865"/>
      <c r="AA209" s="113"/>
      <c r="AB209" s="864">
        <f>IFERROR(VLOOKUP(Ram_6!$H$27,BR192:BS211,2,0),0)</f>
        <v>0</v>
      </c>
      <c r="AC209" s="864"/>
      <c r="AD209" s="864"/>
      <c r="AE209" s="864"/>
      <c r="AF209" s="864"/>
      <c r="AG209" s="864"/>
      <c r="AH209" s="864"/>
      <c r="AI209" s="864"/>
      <c r="AJ209" s="864"/>
      <c r="AK209" s="864"/>
      <c r="AL209" s="864"/>
      <c r="AM209" s="864"/>
      <c r="AN209" s="864"/>
      <c r="AQ209" s="880"/>
      <c r="BL209" s="1" t="s">
        <v>317</v>
      </c>
      <c r="BM209" s="1" t="s">
        <v>255</v>
      </c>
      <c r="BR209" s="1" t="s">
        <v>1002</v>
      </c>
      <c r="BS209" s="1" t="s">
        <v>1424</v>
      </c>
    </row>
    <row r="210" spans="1:71" ht="16.350000000000001" customHeight="1">
      <c r="V210" s="865" t="str">
        <f>('Translate&amp;Prices&amp;Logo'!$O$174)&amp;" "&amp;"-"&amp;" "&amp;('Translate&amp;Prices&amp;Logo'!$O$169)&amp;" "&amp;" "&amp;6</f>
        <v>Ilość sztuk - Ramka  6</v>
      </c>
      <c r="W210" s="865"/>
      <c r="X210" s="865"/>
      <c r="Y210" s="865"/>
      <c r="Z210" s="865"/>
      <c r="AA210" s="113"/>
      <c r="AB210" s="864">
        <f>Ram_6!$H$28</f>
        <v>0</v>
      </c>
      <c r="AC210" s="864"/>
      <c r="AD210" s="864"/>
      <c r="AE210" s="864"/>
      <c r="AF210" s="864"/>
      <c r="AG210" s="864"/>
      <c r="AH210" s="864"/>
      <c r="AI210" s="864"/>
      <c r="AJ210" s="864"/>
      <c r="AK210" s="864"/>
      <c r="AL210" s="864"/>
      <c r="AM210" s="864"/>
      <c r="AN210" s="864"/>
      <c r="AQ210" s="880"/>
      <c r="BL210" s="1" t="s">
        <v>318</v>
      </c>
      <c r="BM210" s="1" t="s">
        <v>256</v>
      </c>
      <c r="BR210" s="1" t="s">
        <v>993</v>
      </c>
      <c r="BS210" s="1" t="s">
        <v>250</v>
      </c>
    </row>
    <row r="211" spans="1:71" ht="16.350000000000001" customHeight="1">
      <c r="AD211" s="1"/>
      <c r="AE211" s="1"/>
      <c r="AQ211" s="880"/>
      <c r="BL211" s="1" t="s">
        <v>1373</v>
      </c>
      <c r="BM211" s="1" t="s">
        <v>1425</v>
      </c>
      <c r="BR211" s="1" t="s">
        <v>994</v>
      </c>
      <c r="BS211" s="1" t="s">
        <v>251</v>
      </c>
    </row>
    <row r="212" spans="1:71" ht="14.85" customHeight="1">
      <c r="AQ212" s="880"/>
      <c r="BL212" s="1" t="s">
        <v>1476</v>
      </c>
      <c r="BM212" s="1" t="s">
        <v>253</v>
      </c>
    </row>
    <row r="213" spans="1:71" ht="14.85" customHeight="1">
      <c r="V213" s="870" t="s">
        <v>1725</v>
      </c>
      <c r="W213" s="870"/>
      <c r="X213" s="870"/>
      <c r="Y213" s="870"/>
      <c r="AD213" s="870" t="s">
        <v>1726</v>
      </c>
      <c r="AE213" s="870"/>
      <c r="AF213" s="870"/>
      <c r="AG213" s="870"/>
      <c r="AQ213" s="880"/>
      <c r="BL213" s="1" t="s">
        <v>1477</v>
      </c>
      <c r="BM213" s="1" t="s">
        <v>254</v>
      </c>
    </row>
    <row r="214" spans="1:71" ht="14.85" customHeight="1">
      <c r="AD214" s="882"/>
      <c r="AE214" s="883"/>
      <c r="AF214" s="883"/>
      <c r="AG214" s="883"/>
      <c r="AH214" s="883"/>
      <c r="AI214" s="883"/>
      <c r="AJ214" s="883"/>
      <c r="AK214" s="883"/>
      <c r="AL214" s="883"/>
      <c r="AM214" s="884"/>
      <c r="AQ214" s="880"/>
      <c r="BL214" s="1" t="s">
        <v>1601</v>
      </c>
      <c r="BM214" s="1" t="s">
        <v>255</v>
      </c>
    </row>
    <row r="215" spans="1:71" ht="14.85" customHeight="1">
      <c r="AD215" s="885"/>
      <c r="AE215" s="886"/>
      <c r="AF215" s="886"/>
      <c r="AG215" s="886"/>
      <c r="AH215" s="886"/>
      <c r="AI215" s="886"/>
      <c r="AJ215" s="886"/>
      <c r="AK215" s="886"/>
      <c r="AL215" s="886"/>
      <c r="AM215" s="887"/>
      <c r="AQ215" s="880"/>
      <c r="BL215" s="1" t="s">
        <v>1602</v>
      </c>
      <c r="BM215" s="1" t="s">
        <v>256</v>
      </c>
    </row>
    <row r="216" spans="1:71" ht="14.85" customHeight="1">
      <c r="AD216" s="885"/>
      <c r="AE216" s="886"/>
      <c r="AF216" s="886"/>
      <c r="AG216" s="886"/>
      <c r="AH216" s="886"/>
      <c r="AI216" s="886"/>
      <c r="AJ216" s="886"/>
      <c r="AK216" s="886"/>
      <c r="AL216" s="886"/>
      <c r="AM216" s="887"/>
      <c r="AQ216" s="880"/>
      <c r="BL216" s="1" t="s">
        <v>1051</v>
      </c>
      <c r="BM216" s="1" t="s">
        <v>1425</v>
      </c>
    </row>
    <row r="217" spans="1:71" ht="14.85" customHeight="1">
      <c r="C217" s="894">
        <f>IF(OR(Ram_6!$AC$25="x",Ram_6!$AJ$26="x",Ram_6!$AC$9="x",Ram_6!$AJ$7="x",Ram_6!$AB$16="x",Ram_6!$AM$23="x",Ram_6!$AN$19="x",Ram_6!$AD$10="x"),'Translate&amp;Prices&amp;Logo'!$B$588,0)</f>
        <v>0</v>
      </c>
      <c r="D217" s="894"/>
      <c r="E217" s="894"/>
      <c r="F217" s="894"/>
      <c r="G217" s="894"/>
      <c r="H217" s="894"/>
      <c r="I217" s="894"/>
      <c r="J217" s="894"/>
      <c r="K217" s="894"/>
      <c r="L217" s="894"/>
      <c r="M217" s="894"/>
      <c r="N217" s="894"/>
      <c r="O217" s="894"/>
      <c r="AD217" s="885"/>
      <c r="AE217" s="886"/>
      <c r="AF217" s="886"/>
      <c r="AG217" s="886"/>
      <c r="AH217" s="886"/>
      <c r="AI217" s="886"/>
      <c r="AJ217" s="886"/>
      <c r="AK217" s="886"/>
      <c r="AL217" s="886"/>
      <c r="AM217" s="887"/>
      <c r="AQ217" s="880"/>
    </row>
    <row r="218" spans="1:71" ht="14.85" customHeight="1">
      <c r="AD218" s="885"/>
      <c r="AE218" s="886"/>
      <c r="AF218" s="886"/>
      <c r="AG218" s="886"/>
      <c r="AH218" s="886"/>
      <c r="AI218" s="886"/>
      <c r="AJ218" s="886"/>
      <c r="AK218" s="886"/>
      <c r="AL218" s="886"/>
      <c r="AM218" s="887"/>
      <c r="AQ218" s="880"/>
    </row>
    <row r="219" spans="1:71" ht="14.85" customHeight="1" thickBot="1">
      <c r="AD219" s="885"/>
      <c r="AE219" s="886"/>
      <c r="AF219" s="886"/>
      <c r="AG219" s="886"/>
      <c r="AH219" s="886"/>
      <c r="AI219" s="886"/>
      <c r="AJ219" s="886"/>
      <c r="AK219" s="886"/>
      <c r="AL219" s="886"/>
      <c r="AM219" s="887"/>
      <c r="AQ219" s="880"/>
    </row>
    <row r="220" spans="1:71" ht="14.85" customHeight="1" thickBot="1">
      <c r="F220" s="871" t="str">
        <f>'Translate&amp;Prices&amp;Logo'!$O$175</f>
        <v>Szerokość</v>
      </c>
      <c r="G220" s="872" t="e">
        <f>Ram_1!#REF!</f>
        <v>#REF!</v>
      </c>
      <c r="H220" s="872" t="e">
        <f>Ram_1!#REF!</f>
        <v>#REF!</v>
      </c>
      <c r="I220" s="873">
        <f>Ram_6!AI30</f>
        <v>0</v>
      </c>
      <c r="J220" s="873" t="e">
        <f>Ram_1!#REF!</f>
        <v>#REF!</v>
      </c>
      <c r="K220" s="874" t="e">
        <f>Ram_1!#REF!</f>
        <v>#REF!</v>
      </c>
      <c r="AD220" s="885"/>
      <c r="AE220" s="886"/>
      <c r="AF220" s="886"/>
      <c r="AG220" s="886"/>
      <c r="AH220" s="886"/>
      <c r="AI220" s="886"/>
      <c r="AJ220" s="886"/>
      <c r="AK220" s="886"/>
      <c r="AL220" s="886"/>
      <c r="AM220" s="887"/>
      <c r="AQ220" s="880"/>
    </row>
    <row r="221" spans="1:71" ht="21" customHeight="1">
      <c r="AD221" s="888"/>
      <c r="AE221" s="889"/>
      <c r="AF221" s="889"/>
      <c r="AG221" s="889"/>
      <c r="AH221" s="889"/>
      <c r="AI221" s="889"/>
      <c r="AJ221" s="889"/>
      <c r="AK221" s="889"/>
      <c r="AL221" s="889"/>
      <c r="AM221" s="890"/>
      <c r="AQ221" s="880"/>
    </row>
    <row r="222" spans="1:71" ht="14.85" customHeight="1">
      <c r="AQ222" s="880"/>
    </row>
    <row r="223" spans="1:71" ht="14.85" customHeight="1">
      <c r="AQ223" s="880"/>
    </row>
    <row r="224" spans="1:71"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181"/>
      <c r="AE224" s="182"/>
      <c r="AF224" s="30"/>
      <c r="AG224" s="30"/>
      <c r="AH224" s="30"/>
      <c r="AI224" s="30"/>
      <c r="AJ224" s="30"/>
      <c r="AK224" s="30"/>
      <c r="AL224" s="30"/>
      <c r="AM224" s="30"/>
      <c r="AN224" s="30"/>
      <c r="AO224" s="30"/>
      <c r="AP224" s="30"/>
      <c r="AQ224" s="30"/>
    </row>
  </sheetData>
  <sheetProtection selectLockedCells="1"/>
  <mergeCells count="352">
    <mergeCell ref="V213:Y213"/>
    <mergeCell ref="AD213:AG213"/>
    <mergeCell ref="AD214:AM221"/>
    <mergeCell ref="C217:O217"/>
    <mergeCell ref="F220:H220"/>
    <mergeCell ref="I220:K220"/>
    <mergeCell ref="V207:Z207"/>
    <mergeCell ref="AB207:AN207"/>
    <mergeCell ref="V208:Z208"/>
    <mergeCell ref="AB208:AN208"/>
    <mergeCell ref="V209:Z209"/>
    <mergeCell ref="AB209:AN209"/>
    <mergeCell ref="R203:R207"/>
    <mergeCell ref="V203:Z203"/>
    <mergeCell ref="AA203:AE203"/>
    <mergeCell ref="AF203:AJ203"/>
    <mergeCell ref="AK203:AN203"/>
    <mergeCell ref="AB204:AN204"/>
    <mergeCell ref="V205:Z205"/>
    <mergeCell ref="AB205:AN205"/>
    <mergeCell ref="V206:Z206"/>
    <mergeCell ref="AB206:AN206"/>
    <mergeCell ref="R198:R202"/>
    <mergeCell ref="V198:Z198"/>
    <mergeCell ref="AB198:AG198"/>
    <mergeCell ref="AH198:AN198"/>
    <mergeCell ref="V199:Z199"/>
    <mergeCell ref="AA199:AE199"/>
    <mergeCell ref="AF199:AJ199"/>
    <mergeCell ref="AK199:AN199"/>
    <mergeCell ref="V210:Z210"/>
    <mergeCell ref="AB210:AN210"/>
    <mergeCell ref="AB194:AH194"/>
    <mergeCell ref="AI194:AN194"/>
    <mergeCell ref="V195:Z195"/>
    <mergeCell ref="AB195:AN195"/>
    <mergeCell ref="V196:Z196"/>
    <mergeCell ref="AB196:AN196"/>
    <mergeCell ref="AQ189:AQ223"/>
    <mergeCell ref="V190:Z190"/>
    <mergeCell ref="AB190:AN190"/>
    <mergeCell ref="V191:Z191"/>
    <mergeCell ref="AB191:AN191"/>
    <mergeCell ref="V192:Z192"/>
    <mergeCell ref="AB192:AN192"/>
    <mergeCell ref="AB193:AH193"/>
    <mergeCell ref="AI193:AN193"/>
    <mergeCell ref="V194:Z194"/>
    <mergeCell ref="V200:Z200"/>
    <mergeCell ref="AB200:AN200"/>
    <mergeCell ref="V201:Z201"/>
    <mergeCell ref="AB201:AN201"/>
    <mergeCell ref="V202:Z202"/>
    <mergeCell ref="AB202:AN202"/>
    <mergeCell ref="V197:Z197"/>
    <mergeCell ref="AB197:AN197"/>
    <mergeCell ref="AD178:AM185"/>
    <mergeCell ref="C181:O181"/>
    <mergeCell ref="F184:H184"/>
    <mergeCell ref="I184:K184"/>
    <mergeCell ref="V189:Z189"/>
    <mergeCell ref="AB189:AN189"/>
    <mergeCell ref="V173:Z173"/>
    <mergeCell ref="AB173:AN173"/>
    <mergeCell ref="V174:Z174"/>
    <mergeCell ref="AB174:AN174"/>
    <mergeCell ref="V177:Y177"/>
    <mergeCell ref="AD177:AG177"/>
    <mergeCell ref="V171:Z171"/>
    <mergeCell ref="AB171:AN171"/>
    <mergeCell ref="V172:Z172"/>
    <mergeCell ref="AB172:AN172"/>
    <mergeCell ref="V166:Z166"/>
    <mergeCell ref="AB166:AN166"/>
    <mergeCell ref="R167:R171"/>
    <mergeCell ref="V167:Z167"/>
    <mergeCell ref="AA167:AE167"/>
    <mergeCell ref="AF167:AJ167"/>
    <mergeCell ref="AK167:AN167"/>
    <mergeCell ref="AB168:AN168"/>
    <mergeCell ref="V169:Z169"/>
    <mergeCell ref="AB169:AN169"/>
    <mergeCell ref="R162:R166"/>
    <mergeCell ref="V161:Z161"/>
    <mergeCell ref="AB161:AN161"/>
    <mergeCell ref="V162:Z162"/>
    <mergeCell ref="AB162:AG162"/>
    <mergeCell ref="AH162:AN162"/>
    <mergeCell ref="V163:Z163"/>
    <mergeCell ref="AA163:AE163"/>
    <mergeCell ref="V170:Z170"/>
    <mergeCell ref="AB170:AN170"/>
    <mergeCell ref="AI157:AN157"/>
    <mergeCell ref="V158:Z158"/>
    <mergeCell ref="AB158:AH158"/>
    <mergeCell ref="AI158:AN158"/>
    <mergeCell ref="V159:Z159"/>
    <mergeCell ref="AB159:AN159"/>
    <mergeCell ref="V153:Z153"/>
    <mergeCell ref="AB153:AN153"/>
    <mergeCell ref="AQ153:AQ187"/>
    <mergeCell ref="V154:Z154"/>
    <mergeCell ref="AB154:AN154"/>
    <mergeCell ref="V155:Z155"/>
    <mergeCell ref="AB155:AN155"/>
    <mergeCell ref="V156:Z156"/>
    <mergeCell ref="AB156:AN156"/>
    <mergeCell ref="AB157:AH157"/>
    <mergeCell ref="AF163:AJ163"/>
    <mergeCell ref="AK163:AN163"/>
    <mergeCell ref="V164:Z164"/>
    <mergeCell ref="AB164:AN164"/>
    <mergeCell ref="V165:Z165"/>
    <mergeCell ref="AB165:AN165"/>
    <mergeCell ref="V160:Z160"/>
    <mergeCell ref="AB160:AN160"/>
    <mergeCell ref="V141:Y141"/>
    <mergeCell ref="AD141:AG141"/>
    <mergeCell ref="AD142:AM149"/>
    <mergeCell ref="C145:O145"/>
    <mergeCell ref="F148:H148"/>
    <mergeCell ref="I148:K148"/>
    <mergeCell ref="V135:Z135"/>
    <mergeCell ref="AB135:AN135"/>
    <mergeCell ref="V136:Z136"/>
    <mergeCell ref="AB136:AN136"/>
    <mergeCell ref="V137:Z137"/>
    <mergeCell ref="AB137:AN137"/>
    <mergeCell ref="R131:R135"/>
    <mergeCell ref="V131:Z131"/>
    <mergeCell ref="AA131:AE131"/>
    <mergeCell ref="AF131:AJ131"/>
    <mergeCell ref="AK131:AN131"/>
    <mergeCell ref="AB132:AN132"/>
    <mergeCell ref="V133:Z133"/>
    <mergeCell ref="AB133:AN133"/>
    <mergeCell ref="V134:Z134"/>
    <mergeCell ref="AB134:AN134"/>
    <mergeCell ref="R126:R130"/>
    <mergeCell ref="V126:Z126"/>
    <mergeCell ref="AB126:AG126"/>
    <mergeCell ref="AH126:AN126"/>
    <mergeCell ref="V127:Z127"/>
    <mergeCell ref="AA127:AE127"/>
    <mergeCell ref="AF127:AJ127"/>
    <mergeCell ref="AK127:AN127"/>
    <mergeCell ref="V138:Z138"/>
    <mergeCell ref="AB138:AN138"/>
    <mergeCell ref="AB122:AH122"/>
    <mergeCell ref="AI122:AN122"/>
    <mergeCell ref="V123:Z123"/>
    <mergeCell ref="AB123:AN123"/>
    <mergeCell ref="V124:Z124"/>
    <mergeCell ref="AB124:AN124"/>
    <mergeCell ref="AQ117:AQ151"/>
    <mergeCell ref="V118:Z118"/>
    <mergeCell ref="AB118:AN118"/>
    <mergeCell ref="V119:Z119"/>
    <mergeCell ref="AB119:AN119"/>
    <mergeCell ref="V120:Z120"/>
    <mergeCell ref="AB120:AN120"/>
    <mergeCell ref="AB121:AH121"/>
    <mergeCell ref="AI121:AN121"/>
    <mergeCell ref="V122:Z122"/>
    <mergeCell ref="V128:Z128"/>
    <mergeCell ref="AB128:AN128"/>
    <mergeCell ref="V129:Z129"/>
    <mergeCell ref="AB129:AN129"/>
    <mergeCell ref="V130:Z130"/>
    <mergeCell ref="AB130:AN130"/>
    <mergeCell ref="V125:Z125"/>
    <mergeCell ref="AB125:AN125"/>
    <mergeCell ref="AD106:AM113"/>
    <mergeCell ref="C109:O109"/>
    <mergeCell ref="F112:H112"/>
    <mergeCell ref="I112:K112"/>
    <mergeCell ref="V117:Z117"/>
    <mergeCell ref="AB117:AN117"/>
    <mergeCell ref="V101:Z101"/>
    <mergeCell ref="AB101:AN101"/>
    <mergeCell ref="V102:Z102"/>
    <mergeCell ref="AB102:AN102"/>
    <mergeCell ref="V105:Y105"/>
    <mergeCell ref="AD105:AG105"/>
    <mergeCell ref="V99:Z99"/>
    <mergeCell ref="AB99:AN99"/>
    <mergeCell ref="V100:Z100"/>
    <mergeCell ref="AB100:AN100"/>
    <mergeCell ref="V94:Z94"/>
    <mergeCell ref="AB94:AN94"/>
    <mergeCell ref="R95:R99"/>
    <mergeCell ref="V95:Z95"/>
    <mergeCell ref="AB95:AE95"/>
    <mergeCell ref="AF95:AJ95"/>
    <mergeCell ref="AK95:AN95"/>
    <mergeCell ref="AB96:AN96"/>
    <mergeCell ref="V97:Z97"/>
    <mergeCell ref="AB97:AN97"/>
    <mergeCell ref="R90:R94"/>
    <mergeCell ref="V89:Z89"/>
    <mergeCell ref="AB89:AN89"/>
    <mergeCell ref="V90:Z90"/>
    <mergeCell ref="AB90:AG90"/>
    <mergeCell ref="AH90:AN90"/>
    <mergeCell ref="V91:Z91"/>
    <mergeCell ref="AA91:AE91"/>
    <mergeCell ref="V98:Z98"/>
    <mergeCell ref="AB98:AN98"/>
    <mergeCell ref="AI85:AN85"/>
    <mergeCell ref="V86:Z86"/>
    <mergeCell ref="AB86:AH86"/>
    <mergeCell ref="AI86:AN86"/>
    <mergeCell ref="V87:Z87"/>
    <mergeCell ref="AB87:AN87"/>
    <mergeCell ref="V81:Z81"/>
    <mergeCell ref="AB81:AN81"/>
    <mergeCell ref="AQ81:AQ115"/>
    <mergeCell ref="V82:Z82"/>
    <mergeCell ref="AB82:AN82"/>
    <mergeCell ref="V83:Z83"/>
    <mergeCell ref="AB83:AN83"/>
    <mergeCell ref="V84:Z84"/>
    <mergeCell ref="AB84:AN84"/>
    <mergeCell ref="AB85:AH85"/>
    <mergeCell ref="AF91:AJ91"/>
    <mergeCell ref="AK91:AN91"/>
    <mergeCell ref="V92:Z92"/>
    <mergeCell ref="AB92:AN92"/>
    <mergeCell ref="V93:Z93"/>
    <mergeCell ref="AB93:AN93"/>
    <mergeCell ref="V88:Z88"/>
    <mergeCell ref="AB88:AN88"/>
    <mergeCell ref="C73:O73"/>
    <mergeCell ref="F76:H76"/>
    <mergeCell ref="I76:K76"/>
    <mergeCell ref="V63:Z63"/>
    <mergeCell ref="AB63:AN63"/>
    <mergeCell ref="V64:Z64"/>
    <mergeCell ref="AB64:AN64"/>
    <mergeCell ref="V65:Z65"/>
    <mergeCell ref="AB65:AN65"/>
    <mergeCell ref="R59:R63"/>
    <mergeCell ref="V59:Z59"/>
    <mergeCell ref="AB59:AE59"/>
    <mergeCell ref="AF59:AJ59"/>
    <mergeCell ref="AK59:AN59"/>
    <mergeCell ref="AB60:AN60"/>
    <mergeCell ref="V61:Z61"/>
    <mergeCell ref="AB61:AN61"/>
    <mergeCell ref="V62:Z62"/>
    <mergeCell ref="AB62:AN62"/>
    <mergeCell ref="R54:R58"/>
    <mergeCell ref="V54:Z54"/>
    <mergeCell ref="AB54:AH54"/>
    <mergeCell ref="AI54:AN54"/>
    <mergeCell ref="V55:Z55"/>
    <mergeCell ref="AA55:AE55"/>
    <mergeCell ref="AI49:AN49"/>
    <mergeCell ref="V50:Z50"/>
    <mergeCell ref="AB50:AH50"/>
    <mergeCell ref="AI50:AN50"/>
    <mergeCell ref="V51:Z51"/>
    <mergeCell ref="AB51:AN51"/>
    <mergeCell ref="AF55:AJ55"/>
    <mergeCell ref="AK55:AN55"/>
    <mergeCell ref="V56:Z56"/>
    <mergeCell ref="V57:Z57"/>
    <mergeCell ref="AB57:AN57"/>
    <mergeCell ref="V58:Z58"/>
    <mergeCell ref="AB58:AN58"/>
    <mergeCell ref="V52:Z52"/>
    <mergeCell ref="AB52:AN52"/>
    <mergeCell ref="V53:Z53"/>
    <mergeCell ref="AB53:AN53"/>
    <mergeCell ref="V45:Z45"/>
    <mergeCell ref="AB45:AN45"/>
    <mergeCell ref="AQ45:AQ79"/>
    <mergeCell ref="V46:Z46"/>
    <mergeCell ref="AB46:AN46"/>
    <mergeCell ref="V47:Z47"/>
    <mergeCell ref="AB47:AN47"/>
    <mergeCell ref="V48:Z48"/>
    <mergeCell ref="AB48:AN48"/>
    <mergeCell ref="AB49:AH49"/>
    <mergeCell ref="V66:Z66"/>
    <mergeCell ref="AB66:AN66"/>
    <mergeCell ref="V69:Y69"/>
    <mergeCell ref="AD69:AG69"/>
    <mergeCell ref="AD70:AM77"/>
    <mergeCell ref="V30:Z30"/>
    <mergeCell ref="AB30:AN30"/>
    <mergeCell ref="V33:Y33"/>
    <mergeCell ref="AD33:AG33"/>
    <mergeCell ref="AD34:AM41"/>
    <mergeCell ref="C37:O37"/>
    <mergeCell ref="F40:H40"/>
    <mergeCell ref="I40:K40"/>
    <mergeCell ref="AB26:AN26"/>
    <mergeCell ref="V27:Z27"/>
    <mergeCell ref="AB27:AN27"/>
    <mergeCell ref="V28:Z28"/>
    <mergeCell ref="AB28:AN28"/>
    <mergeCell ref="V29:Z29"/>
    <mergeCell ref="AB29:AN29"/>
    <mergeCell ref="R23:R27"/>
    <mergeCell ref="V23:Z23"/>
    <mergeCell ref="AA23:AE23"/>
    <mergeCell ref="AF23:AJ23"/>
    <mergeCell ref="AK23:AN23"/>
    <mergeCell ref="V24:Z24"/>
    <mergeCell ref="AB24:AN24"/>
    <mergeCell ref="V25:Z25"/>
    <mergeCell ref="AB25:AN25"/>
    <mergeCell ref="V26:Z26"/>
    <mergeCell ref="AK19:AN19"/>
    <mergeCell ref="V20:Z20"/>
    <mergeCell ref="AB20:AH20"/>
    <mergeCell ref="AI20:AN20"/>
    <mergeCell ref="V21:Z21"/>
    <mergeCell ref="AB21:AN21"/>
    <mergeCell ref="R18:R22"/>
    <mergeCell ref="V18:Z18"/>
    <mergeCell ref="AB18:AH18"/>
    <mergeCell ref="V19:Z19"/>
    <mergeCell ref="AA19:AE19"/>
    <mergeCell ref="AF19:AJ19"/>
    <mergeCell ref="V22:Z22"/>
    <mergeCell ref="AB22:AN22"/>
    <mergeCell ref="AN1:AQ1"/>
    <mergeCell ref="AM2:AQ3"/>
    <mergeCell ref="W4:AD5"/>
    <mergeCell ref="AE4:AE5"/>
    <mergeCell ref="V9:Z9"/>
    <mergeCell ref="AB9:AN9"/>
    <mergeCell ref="AQ9:AQ43"/>
    <mergeCell ref="V10:Z10"/>
    <mergeCell ref="AB10:AN10"/>
    <mergeCell ref="V11:Z11"/>
    <mergeCell ref="V15:Z15"/>
    <mergeCell ref="AB15:AN15"/>
    <mergeCell ref="V16:Z16"/>
    <mergeCell ref="AB16:AN16"/>
    <mergeCell ref="V17:Z17"/>
    <mergeCell ref="AB17:AN17"/>
    <mergeCell ref="AB11:AN11"/>
    <mergeCell ref="V12:Z12"/>
    <mergeCell ref="AB12:AN12"/>
    <mergeCell ref="AB13:AH13"/>
    <mergeCell ref="AI13:AN13"/>
    <mergeCell ref="V14:Z14"/>
    <mergeCell ref="AB14:AH14"/>
    <mergeCell ref="AI14:AN14"/>
  </mergeCells>
  <conditionalFormatting sqref="C37:O37">
    <cfRule type="cellIs" dxfId="158" priority="32" operator="equal">
      <formula>0</formula>
    </cfRule>
  </conditionalFormatting>
  <conditionalFormatting sqref="C73:O73">
    <cfRule type="cellIs" dxfId="157" priority="31" operator="equal">
      <formula>0</formula>
    </cfRule>
  </conditionalFormatting>
  <conditionalFormatting sqref="C109:O109">
    <cfRule type="cellIs" dxfId="156" priority="30" operator="equal">
      <formula>0</formula>
    </cfRule>
  </conditionalFormatting>
  <conditionalFormatting sqref="C145:O145">
    <cfRule type="cellIs" dxfId="155" priority="29" operator="equal">
      <formula>0</formula>
    </cfRule>
  </conditionalFormatting>
  <conditionalFormatting sqref="C181:O181">
    <cfRule type="cellIs" dxfId="154" priority="28" operator="equal">
      <formula>0</formula>
    </cfRule>
  </conditionalFormatting>
  <conditionalFormatting sqref="C217:O217">
    <cfRule type="cellIs" dxfId="153" priority="27" operator="equal">
      <formula>0</formula>
    </cfRule>
  </conditionalFormatting>
  <conditionalFormatting sqref="V9:AA9 V10:AN11 V15:AN17 V18:AB18 V19:AN19 V20:AA20 V21:AN23 V24 AA24:AB24 V25:AN30">
    <cfRule type="cellIs" dxfId="152" priority="26" operator="equal">
      <formula>0</formula>
    </cfRule>
  </conditionalFormatting>
  <conditionalFormatting sqref="V20:AA20">
    <cfRule type="expression" dxfId="151" priority="66">
      <formula>$AB$20=0</formula>
    </cfRule>
  </conditionalFormatting>
  <conditionalFormatting sqref="V45:AA45 V46:AN47 V51:AN53 V54:AB54 V55:AN58 AF59:AN59 V59:AB60 V61:AN66">
    <cfRule type="cellIs" dxfId="150" priority="25" operator="equal">
      <formula>0</formula>
    </cfRule>
  </conditionalFormatting>
  <conditionalFormatting sqref="V81:AA81 V82:AN83 V87:AN89 V90:AB90 AH90 V91:AN94 AF95:AN95 V97:AN102">
    <cfRule type="cellIs" dxfId="149" priority="24" operator="equal">
      <formula>0</formula>
    </cfRule>
  </conditionalFormatting>
  <conditionalFormatting sqref="V117:AA117 V118:AN119 V123:AN125 V126:AB126 AH126 V127:AN131 V132:AB132 V133:AN138">
    <cfRule type="cellIs" dxfId="148" priority="23" operator="equal">
      <formula>0</formula>
    </cfRule>
  </conditionalFormatting>
  <conditionalFormatting sqref="V153:AA153 V154:AN155 V159:AN161 V162:AB162 AH162 V163:AN167 V168:AB168 V169:AN174">
    <cfRule type="cellIs" dxfId="147" priority="22" operator="equal">
      <formula>0</formula>
    </cfRule>
  </conditionalFormatting>
  <conditionalFormatting sqref="V189:AA189 V190:AN191 V195:AN197 V198:AB198 AH198 V199:AN203 V204:AB204 V205:AN210">
    <cfRule type="cellIs" dxfId="146" priority="21" operator="equal">
      <formula>0</formula>
    </cfRule>
  </conditionalFormatting>
  <conditionalFormatting sqref="V95:AB96">
    <cfRule type="cellIs" dxfId="145" priority="2" operator="equal">
      <formula>0</formula>
    </cfRule>
  </conditionalFormatting>
  <conditionalFormatting sqref="V19:AN19">
    <cfRule type="expression" dxfId="144" priority="67">
      <formula>$AA$19=0</formula>
    </cfRule>
  </conditionalFormatting>
  <conditionalFormatting sqref="V21:AN21">
    <cfRule type="expression" dxfId="143" priority="65">
      <formula>$AB$21=""</formula>
    </cfRule>
  </conditionalFormatting>
  <conditionalFormatting sqref="V22:AN23">
    <cfRule type="expression" dxfId="142" priority="64">
      <formula>$AB$22=0</formula>
    </cfRule>
  </conditionalFormatting>
  <conditionalFormatting sqref="V26:AN26">
    <cfRule type="expression" dxfId="141" priority="63">
      <formula>$AB$26=0</formula>
    </cfRule>
  </conditionalFormatting>
  <conditionalFormatting sqref="V55:AN55">
    <cfRule type="expression" dxfId="140" priority="61">
      <formula>$AA$55=0</formula>
    </cfRule>
  </conditionalFormatting>
  <conditionalFormatting sqref="V56:AN56">
    <cfRule type="expression" dxfId="139" priority="60">
      <formula>$AB$56=0</formula>
    </cfRule>
  </conditionalFormatting>
  <conditionalFormatting sqref="V57:AN57">
    <cfRule type="expression" dxfId="138" priority="59">
      <formula>$AB$57=""</formula>
    </cfRule>
  </conditionalFormatting>
  <conditionalFormatting sqref="V58:AN58 V59:AB59 AF59:AN59">
    <cfRule type="expression" dxfId="137" priority="58">
      <formula>$AB$58=0</formula>
    </cfRule>
  </conditionalFormatting>
  <conditionalFormatting sqref="V62:AN62">
    <cfRule type="expression" dxfId="136" priority="57">
      <formula>$AB$62=0</formula>
    </cfRule>
  </conditionalFormatting>
  <conditionalFormatting sqref="V91:AN91">
    <cfRule type="expression" dxfId="135" priority="55">
      <formula>$AA$91=0</formula>
    </cfRule>
  </conditionalFormatting>
  <conditionalFormatting sqref="V92:AN92">
    <cfRule type="expression" dxfId="134" priority="54">
      <formula>$AB$92=0</formula>
    </cfRule>
  </conditionalFormatting>
  <conditionalFormatting sqref="V93:AN93">
    <cfRule type="expression" dxfId="133" priority="53">
      <formula>$AB$93=""</formula>
    </cfRule>
  </conditionalFormatting>
  <conditionalFormatting sqref="V94:AN94 V95:Z95 AB95 AF95:AN95">
    <cfRule type="expression" dxfId="132" priority="52">
      <formula>$AB$94=0</formula>
    </cfRule>
  </conditionalFormatting>
  <conditionalFormatting sqref="V98:AN98">
    <cfRule type="expression" dxfId="131" priority="51">
      <formula>$AB$98=0</formula>
    </cfRule>
  </conditionalFormatting>
  <conditionalFormatting sqref="V127:AN127">
    <cfRule type="expression" dxfId="130" priority="49">
      <formula>$AA$127=0</formula>
    </cfRule>
  </conditionalFormatting>
  <conditionalFormatting sqref="V128:AN128">
    <cfRule type="expression" dxfId="129" priority="48">
      <formula>$AB$128=0</formula>
    </cfRule>
  </conditionalFormatting>
  <conditionalFormatting sqref="V129:AN129">
    <cfRule type="expression" dxfId="128" priority="47">
      <formula>$AB$129=""</formula>
    </cfRule>
  </conditionalFormatting>
  <conditionalFormatting sqref="V130:AN131">
    <cfRule type="expression" dxfId="127" priority="46">
      <formula>$AB$130=0</formula>
    </cfRule>
  </conditionalFormatting>
  <conditionalFormatting sqref="V134:AN134">
    <cfRule type="expression" dxfId="126" priority="45">
      <formula>$AB$134=0</formula>
    </cfRule>
  </conditionalFormatting>
  <conditionalFormatting sqref="V163:AN163">
    <cfRule type="expression" dxfId="125" priority="43">
      <formula>$AA$163=0</formula>
    </cfRule>
  </conditionalFormatting>
  <conditionalFormatting sqref="V164:AN164">
    <cfRule type="expression" dxfId="124" priority="42">
      <formula>$AB$164=0</formula>
    </cfRule>
  </conditionalFormatting>
  <conditionalFormatting sqref="V165:AN165">
    <cfRule type="expression" dxfId="123" priority="41">
      <formula>$AB$165=""</formula>
    </cfRule>
  </conditionalFormatting>
  <conditionalFormatting sqref="V166:AN167">
    <cfRule type="expression" dxfId="122" priority="40">
      <formula>$AB$166=0</formula>
    </cfRule>
  </conditionalFormatting>
  <conditionalFormatting sqref="V170:AN170">
    <cfRule type="expression" dxfId="121" priority="39">
      <formula>$AB$170=0</formula>
    </cfRule>
  </conditionalFormatting>
  <conditionalFormatting sqref="V199:AN199">
    <cfRule type="expression" dxfId="120" priority="37">
      <formula>$AA$199=0</formula>
    </cfRule>
  </conditionalFormatting>
  <conditionalFormatting sqref="V200:AN200">
    <cfRule type="expression" dxfId="119" priority="36">
      <formula>$AB$200=0</formula>
    </cfRule>
  </conditionalFormatting>
  <conditionalFormatting sqref="V201:AN201">
    <cfRule type="expression" dxfId="118" priority="35">
      <formula>$AB$201=""</formula>
    </cfRule>
  </conditionalFormatting>
  <conditionalFormatting sqref="V202:AN203">
    <cfRule type="expression" dxfId="117" priority="34">
      <formula>$AB$202=0</formula>
    </cfRule>
  </conditionalFormatting>
  <conditionalFormatting sqref="V206:AN206">
    <cfRule type="expression" dxfId="116" priority="33">
      <formula>$AB$206=0</formula>
    </cfRule>
  </conditionalFormatting>
  <conditionalFormatting sqref="AA85">
    <cfRule type="cellIs" dxfId="115" priority="1" operator="equal">
      <formula>0</formula>
    </cfRule>
  </conditionalFormatting>
  <conditionalFormatting sqref="AA121">
    <cfRule type="cellIs" dxfId="114" priority="3" operator="equal">
      <formula>0</formula>
    </cfRule>
  </conditionalFormatting>
  <conditionalFormatting sqref="AA157">
    <cfRule type="cellIs" dxfId="113" priority="4" operator="equal">
      <formula>0</formula>
    </cfRule>
  </conditionalFormatting>
  <conditionalFormatting sqref="AB13">
    <cfRule type="expression" dxfId="112" priority="19" stopIfTrue="1">
      <formula>$AB$14=0</formula>
    </cfRule>
  </conditionalFormatting>
  <conditionalFormatting sqref="AB49:AH50">
    <cfRule type="expression" dxfId="111" priority="17" stopIfTrue="1">
      <formula>$AB$50=0</formula>
    </cfRule>
  </conditionalFormatting>
  <conditionalFormatting sqref="AB85:AH86">
    <cfRule type="expression" dxfId="110" priority="15" stopIfTrue="1">
      <formula>$AB$86=0</formula>
    </cfRule>
  </conditionalFormatting>
  <conditionalFormatting sqref="AB121:AH122">
    <cfRule type="expression" dxfId="109" priority="13" stopIfTrue="1">
      <formula>$AB$122=0</formula>
    </cfRule>
  </conditionalFormatting>
  <conditionalFormatting sqref="AB157:AH158">
    <cfRule type="expression" dxfId="108" priority="11" stopIfTrue="1">
      <formula>$AB$158=0</formula>
    </cfRule>
  </conditionalFormatting>
  <conditionalFormatting sqref="AB193:AH194">
    <cfRule type="expression" dxfId="107" priority="9" stopIfTrue="1">
      <formula>$AB$194=0</formula>
    </cfRule>
  </conditionalFormatting>
  <conditionalFormatting sqref="AB17:AN17">
    <cfRule type="expression" dxfId="106" priority="68">
      <formula>$AB$17=0</formula>
    </cfRule>
  </conditionalFormatting>
  <conditionalFormatting sqref="AB53:AN53">
    <cfRule type="expression" dxfId="105" priority="62">
      <formula>$AB$53=0</formula>
    </cfRule>
  </conditionalFormatting>
  <conditionalFormatting sqref="AB89:AN89">
    <cfRule type="expression" dxfId="104" priority="56">
      <formula>$AB$89=0</formula>
    </cfRule>
  </conditionalFormatting>
  <conditionalFormatting sqref="AB125:AN125">
    <cfRule type="expression" dxfId="103" priority="50">
      <formula>$AB$125=0</formula>
    </cfRule>
  </conditionalFormatting>
  <conditionalFormatting sqref="AB161:AN161">
    <cfRule type="expression" dxfId="102" priority="44">
      <formula>$AB$161=0</formula>
    </cfRule>
  </conditionalFormatting>
  <conditionalFormatting sqref="AB197:AN197">
    <cfRule type="expression" dxfId="101" priority="38">
      <formula>$AB$197=0</formula>
    </cfRule>
  </conditionalFormatting>
  <conditionalFormatting sqref="AI13:AN14">
    <cfRule type="expression" dxfId="100" priority="18" stopIfTrue="1">
      <formula>$AI$14=0</formula>
    </cfRule>
  </conditionalFormatting>
  <conditionalFormatting sqref="AI49:AN50">
    <cfRule type="expression" dxfId="99" priority="16" stopIfTrue="1">
      <formula>$AI$50=0</formula>
    </cfRule>
  </conditionalFormatting>
  <conditionalFormatting sqref="AI85:AN86">
    <cfRule type="expression" dxfId="98" priority="14" stopIfTrue="1">
      <formula>$AI$86=0</formula>
    </cfRule>
  </conditionalFormatting>
  <conditionalFormatting sqref="AI121:AN122">
    <cfRule type="expression" dxfId="97" priority="12" stopIfTrue="1">
      <formula>$AI$122=0</formula>
    </cfRule>
  </conditionalFormatting>
  <conditionalFormatting sqref="AI157:AN158">
    <cfRule type="expression" dxfId="96" priority="10" stopIfTrue="1">
      <formula>$AI$158=0</formula>
    </cfRule>
  </conditionalFormatting>
  <conditionalFormatting sqref="AI193:AN194">
    <cfRule type="expression" dxfId="95" priority="8" stopIfTrue="1">
      <formula>$AI$194=0</formula>
    </cfRule>
  </conditionalFormatting>
  <conditionalFormatting sqref="BR32:BS35">
    <cfRule type="expression" dxfId="94" priority="7" stopIfTrue="1">
      <formula>AND(COUNTIF($L$582:$L$587, BR32)+COUNTIF($L$593:$L$624, BR32)+COUNTIF($L$627:$L$627, BR32)+COUNTIF($L$642:$L$644, BR32)&gt;1,NOT(ISBLANK(BR32)))</formula>
    </cfRule>
  </conditionalFormatting>
  <conditionalFormatting sqref="BR68:BS71">
    <cfRule type="expression" dxfId="93" priority="6" stopIfTrue="1">
      <formula>AND(COUNTIF($L$582:$L$587, BR68)+COUNTIF($L$593:$L$624, BR68)+COUNTIF($L$627:$L$627, BR68)+COUNTIF($L$642:$L$644, BR68)&gt;1,NOT(ISBLANK(BR68)))</formula>
    </cfRule>
  </conditionalFormatting>
  <conditionalFormatting sqref="BR104:BS107">
    <cfRule type="expression" dxfId="92" priority="5" stopIfTrue="1">
      <formula>AND(COUNTIF($L$582:$L$587, BR104)+COUNTIF($L$593:$L$624, BR104)+COUNTIF($L$627:$L$627, BR104)+COUNTIF($L$642:$L$644, BR104)&gt;1,NOT(ISBLANK(BR104)))</formula>
    </cfRule>
  </conditionalFormatting>
  <printOptions verticalCentered="1"/>
  <pageMargins left="3.937007874015748E-2" right="3.937007874015748E-2" top="0.55118110236220474" bottom="0.74803149606299213" header="0.31496062992125984" footer="0.31496062992125984"/>
  <pageSetup paperSize="9" scale="55" fitToHeight="3" orientation="landscape" verticalDpi="300" r:id="rId1"/>
  <rowBreaks count="6" manualBreakCount="6">
    <brk id="43" max="42" man="1"/>
    <brk id="79" max="42" man="1"/>
    <brk id="115" max="42" man="1"/>
    <brk id="151" max="16383" man="1"/>
    <brk id="187" max="16383" man="1"/>
    <brk id="223"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1"/>
  <sheetViews>
    <sheetView showGridLines="0" showRowColHeaders="0" workbookViewId="0"/>
  </sheetViews>
  <sheetFormatPr defaultColWidth="0" defaultRowHeight="15" zeroHeight="1"/>
  <cols>
    <col min="1" max="1" width="9" customWidth="1"/>
    <col min="2" max="2" width="21.85546875" customWidth="1"/>
    <col min="3" max="7" width="24.28515625" customWidth="1"/>
    <col min="8" max="8" width="19.140625" customWidth="1"/>
    <col min="9" max="19" width="8.85546875" customWidth="1"/>
    <col min="20" max="16384" width="8.85546875" hidden="1"/>
  </cols>
  <sheetData>
    <row r="1" spans="1:19"/>
    <row r="2" spans="1:19">
      <c r="A2" s="564"/>
      <c r="B2" s="564"/>
      <c r="C2" s="564"/>
      <c r="D2" s="564"/>
      <c r="E2" s="564"/>
      <c r="F2" s="564"/>
      <c r="G2" s="564"/>
      <c r="H2" s="564"/>
      <c r="I2" s="564"/>
      <c r="J2" s="564"/>
      <c r="K2" s="564"/>
      <c r="L2" s="564"/>
      <c r="M2" s="564"/>
      <c r="N2" s="564"/>
      <c r="O2" s="564"/>
      <c r="P2" s="565" t="str">
        <f>"Powrót"</f>
        <v>Powrót</v>
      </c>
      <c r="Q2" s="566"/>
      <c r="R2" s="566"/>
      <c r="S2" s="566"/>
    </row>
    <row r="3" spans="1:19">
      <c r="A3" s="564"/>
      <c r="B3" s="564"/>
      <c r="C3" s="564"/>
      <c r="D3" s="564"/>
      <c r="E3" s="564"/>
      <c r="F3" s="564"/>
      <c r="G3" s="564"/>
      <c r="H3" s="564"/>
      <c r="I3" s="564"/>
      <c r="J3" s="564"/>
      <c r="K3" s="564"/>
      <c r="L3" s="564"/>
      <c r="M3" s="564"/>
      <c r="N3" s="564"/>
      <c r="O3" s="564"/>
      <c r="P3" s="565"/>
      <c r="Q3" s="566"/>
      <c r="R3" s="566"/>
      <c r="S3" s="566"/>
    </row>
    <row r="4" spans="1:19"/>
    <row r="9" spans="1:19"/>
    <row r="10" spans="1:19"/>
    <row r="11" spans="1:19" ht="15.75" thickBot="1"/>
    <row r="12" spans="1:19" ht="39.75" customHeight="1" thickBot="1">
      <c r="B12" s="571" t="s">
        <v>3792</v>
      </c>
      <c r="C12" s="572"/>
      <c r="D12" s="572"/>
      <c r="E12" s="572"/>
      <c r="F12" s="572"/>
      <c r="G12" s="573"/>
    </row>
    <row r="13" spans="1:19" ht="21" customHeight="1">
      <c r="B13" s="403"/>
      <c r="C13" s="570" t="s">
        <v>4547</v>
      </c>
      <c r="D13" s="570"/>
      <c r="E13" s="574" t="s">
        <v>3779</v>
      </c>
      <c r="F13" s="574"/>
      <c r="G13" s="575"/>
    </row>
    <row r="14" spans="1:19">
      <c r="B14" s="381" t="s">
        <v>3778</v>
      </c>
      <c r="C14" s="377" t="s">
        <v>4591</v>
      </c>
      <c r="D14" s="377" t="s">
        <v>3777</v>
      </c>
      <c r="E14" s="376" t="s">
        <v>4595</v>
      </c>
      <c r="F14" s="376" t="s">
        <v>4631</v>
      </c>
      <c r="G14" s="382" t="s">
        <v>4630</v>
      </c>
    </row>
    <row r="15" spans="1:19">
      <c r="B15" s="404" t="s">
        <v>3804</v>
      </c>
      <c r="C15" s="401" t="s">
        <v>4592</v>
      </c>
      <c r="D15" s="401" t="s">
        <v>3784</v>
      </c>
      <c r="E15" s="402" t="s">
        <v>3785</v>
      </c>
      <c r="F15" s="402" t="s">
        <v>3786</v>
      </c>
      <c r="G15" s="405" t="s">
        <v>3787</v>
      </c>
    </row>
    <row r="16" spans="1:19" ht="15.75" thickBot="1">
      <c r="B16" s="383" t="s">
        <v>4546</v>
      </c>
      <c r="C16" s="495" t="s">
        <v>4543</v>
      </c>
      <c r="D16" s="495" t="s">
        <v>4544</v>
      </c>
      <c r="E16" s="576" t="s">
        <v>4545</v>
      </c>
      <c r="F16" s="576"/>
      <c r="G16" s="577"/>
    </row>
    <row r="17" spans="2:19" ht="25.5" customHeight="1"/>
    <row r="18" spans="2:19" ht="25.5" customHeight="1">
      <c r="B18" s="581" t="s">
        <v>4586</v>
      </c>
      <c r="C18" s="581"/>
      <c r="D18" s="581"/>
      <c r="E18" s="581"/>
    </row>
    <row r="19" spans="2:19" ht="25.5" customHeight="1">
      <c r="B19" s="581"/>
      <c r="C19" s="581"/>
      <c r="D19" s="581"/>
      <c r="E19" s="581"/>
    </row>
    <row r="20" spans="2:19" ht="15.75" thickBot="1"/>
    <row r="21" spans="2:19" ht="39.75" customHeight="1" thickBot="1">
      <c r="B21" s="578" t="s">
        <v>3780</v>
      </c>
      <c r="C21" s="579"/>
      <c r="D21" s="579"/>
      <c r="E21" s="579"/>
      <c r="F21" s="579"/>
      <c r="G21" s="580"/>
      <c r="H21" s="378"/>
      <c r="P21" s="569" t="str">
        <f>IF(Posuv!I17="Dostawa na adres","Ramki przesuwne","")</f>
        <v/>
      </c>
      <c r="Q21" s="569"/>
      <c r="R21" s="569"/>
      <c r="S21" s="569"/>
    </row>
    <row r="22" spans="2:19" ht="18.75" customHeight="1">
      <c r="B22" s="409" t="s">
        <v>3781</v>
      </c>
      <c r="C22" s="410" t="s">
        <v>3782</v>
      </c>
      <c r="D22" s="410" t="s">
        <v>4548</v>
      </c>
      <c r="E22" s="410" t="s">
        <v>4549</v>
      </c>
      <c r="F22" s="411" t="s">
        <v>4550</v>
      </c>
      <c r="G22" s="412" t="s">
        <v>4551</v>
      </c>
      <c r="H22" s="379"/>
    </row>
    <row r="23" spans="2:19">
      <c r="B23" s="404" t="s">
        <v>3804</v>
      </c>
      <c r="C23" s="401" t="s">
        <v>3788</v>
      </c>
      <c r="D23" s="401" t="s">
        <v>3789</v>
      </c>
      <c r="E23" s="401" t="s">
        <v>3790</v>
      </c>
      <c r="F23" s="408" t="s">
        <v>3791</v>
      </c>
      <c r="G23" s="413" t="s">
        <v>4552</v>
      </c>
      <c r="H23" s="232"/>
      <c r="P23" s="568" t="s">
        <v>1553</v>
      </c>
      <c r="Q23" s="568"/>
      <c r="R23" s="568"/>
      <c r="S23" s="568"/>
    </row>
    <row r="24" spans="2:19" ht="15.75" thickBot="1">
      <c r="B24" s="383" t="s">
        <v>4546</v>
      </c>
      <c r="C24" s="406" t="s">
        <v>4596</v>
      </c>
      <c r="D24" s="406" t="s">
        <v>4596</v>
      </c>
      <c r="E24" s="406" t="s">
        <v>4597</v>
      </c>
      <c r="F24" s="406" t="s">
        <v>4597</v>
      </c>
      <c r="G24" s="407" t="s">
        <v>4598</v>
      </c>
      <c r="H24" s="380"/>
      <c r="P24" s="568"/>
      <c r="Q24" s="568"/>
      <c r="R24" s="568"/>
      <c r="S24" s="568"/>
    </row>
    <row r="25" spans="2:19"/>
    <row r="26" spans="2:19" ht="15" customHeight="1">
      <c r="B26" s="582" t="s">
        <v>4609</v>
      </c>
      <c r="C26" s="582"/>
      <c r="D26" s="582"/>
      <c r="E26" s="582"/>
      <c r="F26" s="582"/>
      <c r="G26" s="582"/>
      <c r="P26" s="567" t="s">
        <v>1343</v>
      </c>
      <c r="Q26" s="567"/>
      <c r="R26" s="567"/>
      <c r="S26" s="567"/>
    </row>
    <row r="27" spans="2:19" ht="15" customHeight="1">
      <c r="B27" s="582"/>
      <c r="C27" s="582"/>
      <c r="D27" s="582"/>
      <c r="E27" s="582"/>
      <c r="F27" s="582"/>
      <c r="G27" s="582"/>
      <c r="P27" s="567"/>
      <c r="Q27" s="567"/>
      <c r="R27" s="567"/>
      <c r="S27" s="567"/>
    </row>
    <row r="28" spans="2:19" ht="15" customHeight="1">
      <c r="B28" s="510"/>
      <c r="C28" s="510"/>
      <c r="D28" s="510"/>
      <c r="E28" s="510"/>
    </row>
    <row r="29" spans="2:19"/>
    <row r="30" spans="2:19"/>
    <row r="31" spans="2:19"/>
  </sheetData>
  <sheetProtection algorithmName="SHA-512" hashValue="uXyvwp0Qb+3SnPh6l7eHDO44kU60JhWaXjt9YyyJQUeiQ8Xgb5xahZ1ciRP58YkMLoCzXgi2tJlfz/DPkLnjQQ==" saltValue="52i2VRNUS50iHQCyFB4Lvw==" spinCount="100000" sheet="1" objects="1" scenarios="1"/>
  <mergeCells count="12">
    <mergeCell ref="A2:O3"/>
    <mergeCell ref="P2:S3"/>
    <mergeCell ref="P26:S27"/>
    <mergeCell ref="P23:S24"/>
    <mergeCell ref="P21:S21"/>
    <mergeCell ref="C13:D13"/>
    <mergeCell ref="B12:G12"/>
    <mergeCell ref="E13:G13"/>
    <mergeCell ref="E16:G16"/>
    <mergeCell ref="B21:G21"/>
    <mergeCell ref="B18:E19"/>
    <mergeCell ref="B26:G27"/>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091C-6E11-49ED-81FE-8F6ADD9FD4D4}">
  <sheetPr>
    <tabColor rgb="FF92D050"/>
  </sheetPr>
  <dimension ref="A1:BG190"/>
  <sheetViews>
    <sheetView topLeftCell="U1" workbookViewId="0">
      <selection activeCell="AH69" sqref="AH69"/>
    </sheetView>
  </sheetViews>
  <sheetFormatPr defaultColWidth="8.5703125" defaultRowHeight="0" customHeight="1" zeroHeight="1" outlineLevelRow="6"/>
  <cols>
    <col min="1" max="1" width="3.28515625" style="1" customWidth="1"/>
    <col min="2" max="8" width="3.28515625" style="1" hidden="1" customWidth="1"/>
    <col min="9" max="12" width="3.28515625" style="19" hidden="1" customWidth="1"/>
    <col min="13" max="15" width="11.7109375" style="19" customWidth="1"/>
    <col min="16" max="16" width="10" style="19" customWidth="1"/>
    <col min="17" max="18" width="11.7109375" style="19" customWidth="1"/>
    <col min="19" max="19" width="10.42578125" style="19" customWidth="1"/>
    <col min="20" max="20" width="12" style="19" customWidth="1"/>
    <col min="21" max="21" width="11.85546875" style="19" customWidth="1"/>
    <col min="22" max="23" width="8.5703125" style="19" customWidth="1"/>
    <col min="24" max="24" width="13.5703125" style="19" customWidth="1"/>
    <col min="25" max="25" width="11.140625" style="1" customWidth="1"/>
    <col min="26" max="26" width="15.42578125" style="1" customWidth="1"/>
    <col min="27" max="27" width="21" style="1" bestFit="1" customWidth="1"/>
    <col min="28" max="28" width="16.42578125" style="1" hidden="1" customWidth="1"/>
    <col min="29" max="29" width="22.140625" style="1" bestFit="1" customWidth="1"/>
    <col min="30" max="30" width="12.85546875" style="1" customWidth="1"/>
    <col min="31" max="31" width="16" style="1" customWidth="1"/>
    <col min="32" max="32" width="12.7109375" style="1" customWidth="1"/>
    <col min="33" max="33" width="18.85546875" style="1" bestFit="1" customWidth="1"/>
    <col min="34" max="34" width="16" style="1" customWidth="1"/>
    <col min="35" max="35" width="36.5703125" style="1" customWidth="1"/>
    <col min="36" max="39" width="8.5703125" style="1"/>
    <col min="40" max="40" width="149.42578125" style="1" customWidth="1"/>
    <col min="41" max="41" width="8.5703125" style="1"/>
    <col min="42" max="42" width="17.140625" style="1" customWidth="1"/>
    <col min="43" max="48" width="20.140625" style="1" customWidth="1"/>
    <col min="49" max="50" width="7.7109375" style="1" customWidth="1"/>
    <col min="51" max="51" width="11.5703125" style="1" customWidth="1"/>
    <col min="52" max="52" width="7.7109375" style="1" customWidth="1"/>
    <col min="53" max="53" width="18.28515625" style="1" customWidth="1"/>
    <col min="54" max="61" width="37.7109375" style="1" customWidth="1"/>
    <col min="62" max="16384" width="8.5703125" style="1"/>
  </cols>
  <sheetData>
    <row r="1" spans="2:48" ht="15" outlineLevel="1">
      <c r="P1" s="19" t="s">
        <v>4567</v>
      </c>
      <c r="Q1" s="19" t="s">
        <v>4610</v>
      </c>
    </row>
    <row r="2" spans="2:48" ht="14.25" customHeight="1" outlineLevel="1">
      <c r="O2" s="438" t="s">
        <v>4569</v>
      </c>
      <c r="P2" s="19">
        <f>Ram_1!$H$28</f>
        <v>0</v>
      </c>
      <c r="Q2" s="502">
        <f>IF(Ram_1!$H$28&gt;0,IF(Ram_1!$H$25&lt;&gt;"",1,2),0)</f>
        <v>0</v>
      </c>
      <c r="S2" s="19">
        <f>IF(P2&gt;0,1,0)</f>
        <v>0</v>
      </c>
      <c r="U2" s="19" t="b">
        <f>IF(M33=3,IF(U8=1,AH69,IF(U8=2,'doprava demont'!AD48,"dostawa niemożliwa")))</f>
        <v>0</v>
      </c>
      <c r="X2" s="19" t="s">
        <v>4614</v>
      </c>
      <c r="Y2" s="1" t="s">
        <v>4609</v>
      </c>
    </row>
    <row r="3" spans="2:48" ht="14.25" customHeight="1" outlineLevel="1">
      <c r="O3" s="438" t="s">
        <v>4570</v>
      </c>
      <c r="P3" s="19">
        <f>Ram_2!$H$28</f>
        <v>0</v>
      </c>
      <c r="Q3" s="502">
        <f>IF(Ram_2!$H$28&gt;0,IF(Ram_2!$H$25&lt;&gt;"",1,2),0)</f>
        <v>0</v>
      </c>
      <c r="S3" s="19">
        <f t="shared" ref="S3:S7" si="0">IF(P3&gt;0,1,0)</f>
        <v>0</v>
      </c>
      <c r="X3" s="19" t="s">
        <v>4618</v>
      </c>
      <c r="Y3" s="1" t="s">
        <v>4615</v>
      </c>
    </row>
    <row r="4" spans="2:48" ht="14.25" customHeight="1" outlineLevel="1">
      <c r="I4" s="1"/>
      <c r="O4" s="438" t="s">
        <v>4571</v>
      </c>
      <c r="P4" s="19">
        <f>Ram_3!$H$28</f>
        <v>0</v>
      </c>
      <c r="Q4" s="502">
        <f>IF(Ram_3!$H$28&gt;0,IF(Ram_3!$H$25&lt;&gt;"",1,2),0)</f>
        <v>0</v>
      </c>
      <c r="S4" s="19">
        <f t="shared" si="0"/>
        <v>0</v>
      </c>
      <c r="X4" s="19" t="s">
        <v>4616</v>
      </c>
      <c r="Y4" s="1" t="s">
        <v>4617</v>
      </c>
    </row>
    <row r="5" spans="2:48" ht="14.25" customHeight="1" outlineLevel="1">
      <c r="I5" s="1"/>
      <c r="O5" s="438" t="s">
        <v>4572</v>
      </c>
      <c r="P5" s="19">
        <f>Ram_4!$H$28</f>
        <v>0</v>
      </c>
      <c r="Q5" s="502">
        <f>IF(Ram_4!$H$28&gt;0,IF(Ram_4!$H$25&lt;&gt;"",1,2),0)</f>
        <v>0</v>
      </c>
      <c r="S5" s="19">
        <f t="shared" si="0"/>
        <v>0</v>
      </c>
      <c r="AA5" s="850"/>
      <c r="AB5" s="850"/>
      <c r="AC5" s="850"/>
      <c r="AD5" s="850"/>
      <c r="AE5" s="850"/>
      <c r="AF5" s="850"/>
    </row>
    <row r="6" spans="2:48" ht="14.25" customHeight="1" outlineLevel="2">
      <c r="O6" s="438" t="s">
        <v>4573</v>
      </c>
      <c r="P6" s="19">
        <f>Ram_5!$H$28</f>
        <v>0</v>
      </c>
      <c r="Q6" s="502">
        <f>IF(Ram_5!$H$28&gt;0,IF(Ram_5!$H$25&lt;&gt;"",1,2),0)</f>
        <v>0</v>
      </c>
      <c r="S6" s="19">
        <f t="shared" si="0"/>
        <v>0</v>
      </c>
    </row>
    <row r="7" spans="2:48" ht="14.25" customHeight="1" outlineLevel="2">
      <c r="C7" s="19"/>
      <c r="D7" s="19"/>
      <c r="E7" s="19"/>
      <c r="F7" s="19"/>
      <c r="G7" s="19"/>
      <c r="H7" s="19"/>
      <c r="O7" s="438" t="s">
        <v>4574</v>
      </c>
      <c r="P7" s="19">
        <f>Ram_6!$H$28</f>
        <v>0</v>
      </c>
      <c r="Q7" s="502">
        <f>IF(Ram_6!$H$28&gt;0,IF(Ram_6!$H$25&lt;&gt;"",1,2),0)</f>
        <v>0</v>
      </c>
      <c r="S7" s="19">
        <f t="shared" si="0"/>
        <v>0</v>
      </c>
      <c r="AA7" s="414"/>
      <c r="AB7" s="414"/>
      <c r="AC7" s="414"/>
      <c r="AD7" s="414"/>
      <c r="AE7" s="414"/>
      <c r="AF7" s="414"/>
    </row>
    <row r="8" spans="2:48" ht="14.25" customHeight="1" outlineLevel="2">
      <c r="I8" s="1"/>
      <c r="J8" s="1"/>
      <c r="K8" s="1"/>
      <c r="L8" s="1"/>
      <c r="M8" s="1"/>
      <c r="N8" s="1"/>
      <c r="Q8" s="502"/>
      <c r="R8" s="1"/>
      <c r="S8" s="19">
        <f>SUM(S2:S7)</f>
        <v>0</v>
      </c>
      <c r="T8" s="1">
        <f>SUM(Q2:Q7)</f>
        <v>0</v>
      </c>
      <c r="U8" s="513">
        <f>IF(S8=T8,1,IF(S8=(T8/2),2,0))</f>
        <v>1</v>
      </c>
      <c r="V8" s="514">
        <v>0</v>
      </c>
      <c r="W8" s="19" t="s">
        <v>4613</v>
      </c>
      <c r="X8" s="1"/>
      <c r="AA8" s="414"/>
      <c r="AB8" s="414"/>
      <c r="AC8" s="414"/>
      <c r="AD8" s="414"/>
      <c r="AE8" s="414"/>
      <c r="AF8" s="414"/>
      <c r="AQ8" s="414"/>
      <c r="AR8" s="414"/>
      <c r="AS8" s="414"/>
      <c r="AT8" s="414"/>
      <c r="AU8" s="414"/>
      <c r="AV8" s="414"/>
    </row>
    <row r="9" spans="2:48" ht="15" customHeight="1" outlineLevel="2">
      <c r="C9" s="626"/>
      <c r="Q9" s="502"/>
      <c r="V9" s="514">
        <v>1</v>
      </c>
      <c r="W9" s="19" t="s">
        <v>4611</v>
      </c>
      <c r="AA9" s="414"/>
      <c r="AB9" s="414"/>
      <c r="AC9" s="414"/>
      <c r="AD9" s="414"/>
      <c r="AE9" s="414"/>
      <c r="AF9" s="414"/>
      <c r="AQ9" s="414"/>
      <c r="AR9" s="414"/>
      <c r="AS9" s="414"/>
      <c r="AT9" s="414"/>
      <c r="AU9" s="414"/>
      <c r="AV9" s="414"/>
    </row>
    <row r="10" spans="2:48" ht="15" customHeight="1" outlineLevel="2">
      <c r="C10" s="626"/>
      <c r="Q10" s="502"/>
      <c r="V10" s="514">
        <v>2</v>
      </c>
      <c r="W10" s="19" t="s">
        <v>4612</v>
      </c>
      <c r="AA10" s="414"/>
      <c r="AB10" s="414"/>
      <c r="AC10" s="414"/>
      <c r="AD10" s="414"/>
      <c r="AE10" s="414"/>
      <c r="AF10" s="414"/>
      <c r="AQ10" s="414"/>
      <c r="AR10" s="414"/>
      <c r="AS10" s="414"/>
      <c r="AT10" s="414"/>
      <c r="AU10" s="414"/>
      <c r="AV10" s="414"/>
    </row>
    <row r="11" spans="2:48" ht="14.25" customHeight="1" outlineLevel="2">
      <c r="C11" s="471"/>
      <c r="Q11" s="502"/>
      <c r="Z11" s="474"/>
      <c r="AA11" s="414"/>
      <c r="AB11" s="414"/>
      <c r="AC11" s="414"/>
      <c r="AD11" s="850"/>
      <c r="AE11" s="850"/>
      <c r="AF11" s="850"/>
      <c r="AQ11" s="414"/>
      <c r="AR11" s="414"/>
      <c r="AS11" s="414"/>
      <c r="AT11" s="414"/>
      <c r="AU11" s="414"/>
      <c r="AV11" s="414"/>
    </row>
    <row r="12" spans="2:48" ht="14.25" customHeight="1" outlineLevel="2">
      <c r="C12" s="471"/>
      <c r="Q12" s="502"/>
      <c r="AQ12" s="414"/>
      <c r="AR12" s="414"/>
      <c r="AS12" s="414"/>
      <c r="AT12" s="414"/>
      <c r="AU12" s="414"/>
      <c r="AV12" s="414"/>
    </row>
    <row r="13" spans="2:48" ht="14.25" customHeight="1" outlineLevel="2">
      <c r="Q13" s="502"/>
      <c r="AQ13" s="414"/>
      <c r="AR13" s="414"/>
      <c r="AS13" s="414"/>
      <c r="AT13" s="414"/>
      <c r="AU13" s="414"/>
      <c r="AV13" s="414"/>
    </row>
    <row r="14" spans="2:48" ht="14.25" hidden="1" customHeight="1" outlineLevel="2">
      <c r="B14" s="555"/>
      <c r="I14" s="1"/>
      <c r="J14" s="1"/>
      <c r="K14" s="1"/>
      <c r="L14" s="1"/>
      <c r="M14" s="1"/>
      <c r="N14" s="1"/>
      <c r="O14" s="1"/>
      <c r="Q14" s="502"/>
      <c r="R14" s="1"/>
      <c r="T14" s="1"/>
      <c r="U14" s="1"/>
      <c r="V14" s="1"/>
      <c r="W14" s="1"/>
      <c r="X14" s="1"/>
      <c r="AQ14" s="414"/>
      <c r="AR14" s="414"/>
      <c r="AS14" s="414"/>
      <c r="AT14" s="414"/>
      <c r="AU14" s="414"/>
      <c r="AV14" s="414"/>
    </row>
    <row r="15" spans="2:48" ht="14.25" hidden="1" customHeight="1" outlineLevel="2">
      <c r="B15" s="555"/>
      <c r="I15" s="1"/>
      <c r="J15" s="1"/>
      <c r="K15" s="1"/>
      <c r="L15" s="1"/>
      <c r="M15" s="1"/>
      <c r="N15" s="1"/>
      <c r="O15" s="1"/>
      <c r="Q15" s="502"/>
      <c r="R15" s="1"/>
      <c r="T15" s="1"/>
      <c r="U15" s="1"/>
      <c r="V15" s="1"/>
      <c r="W15" s="1"/>
      <c r="X15" s="1"/>
      <c r="AQ15" s="414"/>
      <c r="AR15" s="414"/>
      <c r="AS15" s="414"/>
      <c r="AT15" s="414"/>
      <c r="AU15" s="414"/>
      <c r="AV15" s="414"/>
    </row>
    <row r="16" spans="2:48" ht="14.25" hidden="1" customHeight="1" outlineLevel="2">
      <c r="B16" s="471"/>
      <c r="I16" s="1"/>
      <c r="J16" s="1"/>
      <c r="K16" s="1"/>
      <c r="L16" s="1"/>
      <c r="M16" s="1"/>
      <c r="N16" s="1"/>
      <c r="O16" s="1"/>
      <c r="Q16" s="502"/>
      <c r="R16" s="1"/>
      <c r="T16" s="1"/>
      <c r="U16" s="1"/>
      <c r="V16" s="1"/>
      <c r="W16" s="1"/>
      <c r="X16" s="1"/>
      <c r="AQ16" s="414"/>
      <c r="AR16" s="414"/>
      <c r="AS16" s="414"/>
      <c r="AT16" s="414"/>
      <c r="AU16" s="414"/>
      <c r="AV16" s="414"/>
    </row>
    <row r="17" spans="1:59" ht="14.25" hidden="1" customHeight="1" outlineLevel="2">
      <c r="I17" s="1"/>
      <c r="J17" s="1"/>
      <c r="K17" s="1"/>
      <c r="L17" s="1"/>
      <c r="M17" s="1"/>
      <c r="N17" s="1"/>
      <c r="O17" s="1"/>
      <c r="Q17" s="502"/>
      <c r="R17" s="1"/>
      <c r="T17" s="1"/>
      <c r="U17" s="1"/>
      <c r="V17" s="1"/>
      <c r="W17" s="1"/>
      <c r="X17" s="1"/>
      <c r="AQ17" s="414"/>
      <c r="AR17" s="414"/>
      <c r="AT17" s="414"/>
      <c r="AU17" s="414"/>
      <c r="AV17" s="414"/>
    </row>
    <row r="18" spans="1:59" ht="14.25" hidden="1" customHeight="1" outlineLevel="2">
      <c r="C18" s="472"/>
      <c r="I18" s="1"/>
      <c r="J18" s="1"/>
      <c r="K18" s="1"/>
      <c r="L18" s="1"/>
      <c r="M18" s="1"/>
      <c r="N18" s="1"/>
      <c r="O18" s="1"/>
      <c r="Q18" s="502"/>
      <c r="R18" s="1"/>
      <c r="T18" s="1"/>
      <c r="U18" s="1"/>
      <c r="V18" s="1"/>
      <c r="W18" s="1"/>
      <c r="X18" s="1"/>
    </row>
    <row r="19" spans="1:59" ht="14.25" hidden="1" customHeight="1" outlineLevel="2">
      <c r="B19" s="388"/>
      <c r="Q19" s="502"/>
    </row>
    <row r="20" spans="1:59" ht="14.25" hidden="1" customHeight="1" outlineLevel="2">
      <c r="I20" s="1"/>
      <c r="J20" s="1"/>
      <c r="K20" s="1"/>
      <c r="L20" s="1"/>
      <c r="M20" s="1"/>
      <c r="N20" s="1"/>
      <c r="O20" s="1"/>
      <c r="Q20" s="502"/>
      <c r="R20" s="1"/>
      <c r="T20" s="1"/>
      <c r="U20" s="1"/>
      <c r="V20" s="1"/>
      <c r="W20" s="1"/>
      <c r="X20" s="1"/>
      <c r="Z20" s="474"/>
    </row>
    <row r="21" spans="1:59" ht="14.25" hidden="1" customHeight="1" outlineLevel="2">
      <c r="I21" s="1"/>
      <c r="J21" s="1"/>
      <c r="K21" s="1"/>
      <c r="L21" s="1"/>
      <c r="M21" s="1"/>
      <c r="N21" s="1"/>
      <c r="O21" s="1"/>
      <c r="Q21" s="502"/>
      <c r="R21" s="1"/>
      <c r="T21" s="1"/>
      <c r="U21" s="1"/>
      <c r="V21" s="1"/>
      <c r="W21" s="1"/>
      <c r="X21" s="1"/>
    </row>
    <row r="22" spans="1:59" ht="14.25" hidden="1" customHeight="1" outlineLevel="2">
      <c r="Q22" s="502"/>
    </row>
    <row r="23" spans="1:59" ht="14.25" hidden="1" customHeight="1" outlineLevel="2">
      <c r="I23" s="1"/>
      <c r="J23" s="1"/>
      <c r="K23" s="1"/>
      <c r="L23" s="1"/>
      <c r="M23" s="1"/>
      <c r="N23" s="1"/>
      <c r="O23" s="1"/>
      <c r="Q23" s="502"/>
      <c r="R23" s="1"/>
      <c r="T23" s="1"/>
      <c r="U23" s="1"/>
      <c r="V23" s="1"/>
      <c r="W23" s="1"/>
      <c r="X23" s="1"/>
    </row>
    <row r="24" spans="1:59" ht="14.25" hidden="1" customHeight="1" outlineLevel="2">
      <c r="I24" s="1"/>
      <c r="J24" s="1"/>
      <c r="K24" s="1"/>
      <c r="L24" s="1"/>
      <c r="M24" s="1"/>
      <c r="N24" s="1"/>
      <c r="O24" s="1"/>
      <c r="Q24" s="502"/>
      <c r="R24" s="1"/>
      <c r="T24" s="1"/>
      <c r="U24" s="1"/>
      <c r="V24" s="1"/>
      <c r="W24" s="1"/>
      <c r="X24" s="1"/>
      <c r="AA24" s="475"/>
    </row>
    <row r="25" spans="1:59" ht="14.25" hidden="1" customHeight="1" outlineLevel="2">
      <c r="I25" s="1"/>
      <c r="J25" s="1"/>
      <c r="K25" s="1"/>
      <c r="L25" s="1"/>
      <c r="M25" s="1"/>
      <c r="N25" s="1"/>
      <c r="O25" s="1"/>
      <c r="Q25" s="502"/>
      <c r="R25" s="1"/>
      <c r="T25" s="1"/>
      <c r="U25" s="1"/>
      <c r="V25" s="1"/>
      <c r="W25" s="1"/>
      <c r="X25" s="1"/>
      <c r="AA25" s="475"/>
    </row>
    <row r="26" spans="1:59" ht="14.25" hidden="1" customHeight="1" outlineLevel="2">
      <c r="I26" s="1"/>
      <c r="J26" s="1"/>
      <c r="K26" s="1"/>
      <c r="L26" s="1"/>
      <c r="M26" s="1"/>
      <c r="N26" s="1"/>
      <c r="O26" s="1"/>
      <c r="Q26" s="502"/>
      <c r="R26" s="1"/>
      <c r="T26" s="1"/>
      <c r="U26" s="1"/>
      <c r="V26" s="1"/>
      <c r="W26" s="1"/>
      <c r="X26" s="1"/>
      <c r="AA26" s="475"/>
    </row>
    <row r="27" spans="1:59" ht="39.75" hidden="1" customHeight="1" outlineLevel="2">
      <c r="I27" s="1"/>
      <c r="J27" s="1"/>
      <c r="K27" s="1"/>
      <c r="L27" s="1"/>
      <c r="M27" s="1"/>
      <c r="N27" s="1"/>
      <c r="O27" s="1"/>
      <c r="Q27" s="502"/>
      <c r="R27" s="1"/>
      <c r="T27" s="1"/>
      <c r="U27" s="1"/>
      <c r="V27" s="1"/>
      <c r="W27" s="1"/>
      <c r="X27" s="1"/>
    </row>
    <row r="28" spans="1:59" ht="45.75" hidden="1" customHeight="1" outlineLevel="1">
      <c r="I28" s="1"/>
      <c r="J28" s="1"/>
      <c r="K28" s="1"/>
      <c r="L28" s="1"/>
      <c r="M28" s="1"/>
      <c r="N28" s="1"/>
      <c r="O28" s="1"/>
      <c r="Q28" s="502"/>
      <c r="R28" s="1"/>
      <c r="T28" s="1"/>
      <c r="U28" s="1"/>
      <c r="V28" s="1"/>
      <c r="W28" s="1"/>
      <c r="X28" s="1"/>
    </row>
    <row r="29" spans="1:59" ht="37.5" hidden="1" customHeight="1">
      <c r="E29" s="463"/>
      <c r="F29" s="463"/>
      <c r="G29" s="463"/>
      <c r="H29" s="464"/>
      <c r="I29" s="464"/>
      <c r="J29" s="464"/>
      <c r="K29" s="1"/>
      <c r="L29" s="1"/>
      <c r="M29" s="1"/>
      <c r="N29" s="1"/>
      <c r="O29" s="1"/>
      <c r="Q29" s="502"/>
      <c r="R29" s="1"/>
      <c r="T29" s="1"/>
      <c r="U29" s="1"/>
      <c r="AQ29" s="463"/>
      <c r="AR29" s="463"/>
      <c r="AS29" s="463"/>
      <c r="AT29" s="464"/>
      <c r="AU29" s="464"/>
      <c r="AV29" s="464"/>
      <c r="BB29" s="463"/>
      <c r="BC29" s="463"/>
      <c r="BD29" s="463"/>
      <c r="BE29" s="464"/>
      <c r="BF29" s="464"/>
      <c r="BG29" s="464"/>
    </row>
    <row r="30" spans="1:59" ht="22.5" hidden="1" customHeight="1">
      <c r="B30" s="303"/>
      <c r="E30" s="414"/>
      <c r="F30" s="414"/>
      <c r="G30" s="414"/>
      <c r="H30" s="414"/>
      <c r="I30" s="414"/>
      <c r="J30" s="414"/>
      <c r="AQ30" s="414"/>
      <c r="AR30" s="414"/>
      <c r="AS30" s="414"/>
      <c r="AT30" s="414"/>
      <c r="AU30" s="414"/>
      <c r="AV30" s="414"/>
      <c r="AY30" s="414"/>
      <c r="BB30" s="414"/>
      <c r="BC30" s="414"/>
      <c r="BD30" s="414"/>
      <c r="BE30" s="414"/>
      <c r="BF30" s="414"/>
      <c r="BG30" s="414"/>
    </row>
    <row r="31" spans="1:59" ht="19.5" customHeight="1" thickBot="1">
      <c r="A31" s="473"/>
      <c r="B31" s="218"/>
      <c r="D31" s="414"/>
      <c r="E31" s="466"/>
      <c r="F31" s="466"/>
      <c r="G31" s="466"/>
      <c r="H31" s="466"/>
      <c r="I31" s="466"/>
      <c r="J31" s="466"/>
      <c r="V31" s="465"/>
      <c r="W31" s="465"/>
      <c r="X31" s="465"/>
      <c r="Y31" s="465"/>
      <c r="Z31" s="465"/>
      <c r="AP31" s="414"/>
      <c r="AQ31" s="466"/>
      <c r="AR31" s="466"/>
      <c r="AS31" s="466"/>
      <c r="AT31" s="466"/>
      <c r="AU31" s="466"/>
      <c r="AV31" s="466"/>
      <c r="BA31" s="414"/>
      <c r="BB31" s="466"/>
      <c r="BC31" s="466"/>
      <c r="BD31" s="466"/>
      <c r="BE31" s="466"/>
      <c r="BF31" s="466"/>
      <c r="BG31" s="466"/>
    </row>
    <row r="32" spans="1:59" ht="18.75" customHeight="1" thickBot="1">
      <c r="A32" s="473"/>
      <c r="B32" s="218"/>
      <c r="D32" s="414"/>
      <c r="E32" s="467"/>
      <c r="F32" s="467"/>
      <c r="G32" s="467"/>
      <c r="H32" s="467"/>
      <c r="I32" s="467"/>
      <c r="J32" s="467"/>
      <c r="M32" s="415"/>
      <c r="N32" s="416"/>
      <c r="O32" s="416"/>
      <c r="P32" s="416"/>
      <c r="Q32" s="416"/>
      <c r="R32" s="416"/>
      <c r="S32" s="416"/>
      <c r="T32" s="416"/>
      <c r="U32" s="416"/>
      <c r="V32" s="416"/>
      <c r="W32" s="416"/>
      <c r="X32" s="417"/>
      <c r="Y32" s="417"/>
      <c r="Z32" s="486" t="s">
        <v>4553</v>
      </c>
      <c r="AA32" s="487">
        <v>800</v>
      </c>
      <c r="AB32" s="487"/>
      <c r="AC32" s="487">
        <v>1499</v>
      </c>
      <c r="AD32" s="487">
        <v>1999</v>
      </c>
      <c r="AE32" s="487">
        <v>2300</v>
      </c>
      <c r="AF32" s="487">
        <v>2750</v>
      </c>
      <c r="AG32" s="417"/>
      <c r="AH32" s="417"/>
      <c r="AI32" s="417"/>
      <c r="AJ32" s="418"/>
      <c r="AP32" s="414"/>
      <c r="AQ32" s="467"/>
      <c r="AR32" s="467"/>
      <c r="AS32" s="467"/>
      <c r="AT32" s="467"/>
      <c r="AU32" s="467"/>
      <c r="AV32" s="467"/>
      <c r="AY32" s="218"/>
      <c r="BA32" s="414"/>
      <c r="BB32" s="467"/>
      <c r="BC32" s="467"/>
      <c r="BD32" s="467"/>
      <c r="BE32" s="467"/>
      <c r="BF32" s="467"/>
      <c r="BG32" s="467"/>
    </row>
    <row r="33" spans="2:59" ht="22.5" customHeight="1" thickBot="1">
      <c r="B33" s="414"/>
      <c r="D33" s="414"/>
      <c r="E33" s="414"/>
      <c r="F33" s="414"/>
      <c r="G33" s="414"/>
      <c r="H33" s="414"/>
      <c r="I33" s="414"/>
      <c r="J33" s="414"/>
      <c r="M33" s="485">
        <f>IF(Zakaznik!K23="Dostawa na adres",Hlavní!V39,0)</f>
        <v>0</v>
      </c>
      <c r="N33" s="488" t="str">
        <f>IF(M33=3,"Určeno pro polský trh =&gt; počítá se kalkulace dopravy","Není to určeno pro polský trh =&gt; NEpočítá se kalkulace dopravy" )</f>
        <v>Není to určeno pro polský trh =&gt; NEpočítá se kalkulace dopravy</v>
      </c>
      <c r="O33" s="476"/>
      <c r="P33" s="476"/>
      <c r="Q33" s="476"/>
      <c r="R33" s="476"/>
      <c r="S33" s="476"/>
      <c r="T33" s="476"/>
      <c r="U33" s="476"/>
      <c r="V33" s="476"/>
      <c r="W33" s="476"/>
      <c r="X33" s="477"/>
      <c r="Y33" s="477"/>
      <c r="Z33" s="486" t="s">
        <v>4553</v>
      </c>
      <c r="AA33" s="487">
        <v>800</v>
      </c>
      <c r="AB33" s="487"/>
      <c r="AC33" s="487">
        <v>600</v>
      </c>
      <c r="AD33" s="824">
        <v>910</v>
      </c>
      <c r="AE33" s="825"/>
      <c r="AF33" s="826"/>
      <c r="AG33" s="477"/>
      <c r="AH33" s="477"/>
      <c r="AI33" s="477"/>
      <c r="AJ33" s="420"/>
      <c r="AP33" s="414"/>
      <c r="AQ33" s="414"/>
      <c r="AR33" s="414"/>
      <c r="AS33" s="414"/>
      <c r="AT33" s="414"/>
      <c r="AU33" s="414"/>
      <c r="AV33" s="414"/>
      <c r="BA33" s="414"/>
      <c r="BB33" s="414"/>
      <c r="BC33" s="414"/>
      <c r="BD33" s="414"/>
      <c r="BE33" s="414"/>
      <c r="BF33" s="414"/>
      <c r="BG33" s="414"/>
    </row>
    <row r="34" spans="2:59" ht="14.85" customHeight="1" thickBot="1">
      <c r="D34" s="414"/>
      <c r="E34" s="414"/>
      <c r="F34" s="414"/>
      <c r="G34" s="414"/>
      <c r="H34" s="414"/>
      <c r="I34" s="414"/>
      <c r="J34" s="414"/>
      <c r="M34" s="419"/>
      <c r="N34" s="476"/>
      <c r="O34" s="476"/>
      <c r="P34" s="476"/>
      <c r="Q34" s="476"/>
      <c r="R34" s="476"/>
      <c r="S34" s="476"/>
      <c r="T34" s="476"/>
      <c r="U34" s="476"/>
      <c r="V34" s="476"/>
      <c r="W34" s="476"/>
      <c r="X34" s="477"/>
      <c r="Y34" s="477"/>
      <c r="Z34" s="477"/>
      <c r="AA34" s="477"/>
      <c r="AB34" s="477"/>
      <c r="AC34" s="477"/>
      <c r="AD34" s="477"/>
      <c r="AE34" s="477"/>
      <c r="AF34" s="477"/>
      <c r="AG34" s="477"/>
      <c r="AH34" s="477"/>
      <c r="AI34" s="477"/>
      <c r="AJ34" s="420"/>
      <c r="AP34" s="414"/>
      <c r="AQ34" s="414"/>
      <c r="AR34" s="414"/>
      <c r="AS34" s="414"/>
      <c r="AT34" s="414"/>
      <c r="AU34" s="414"/>
      <c r="AV34" s="414"/>
      <c r="BA34" s="414"/>
      <c r="BB34" s="414"/>
      <c r="BC34" s="414"/>
      <c r="BD34" s="414"/>
      <c r="BE34" s="414"/>
      <c r="BF34" s="414"/>
      <c r="BG34" s="414"/>
    </row>
    <row r="35" spans="2:59" ht="14.85" customHeight="1">
      <c r="D35" s="414"/>
      <c r="E35" s="466"/>
      <c r="F35" s="466"/>
      <c r="G35" s="466"/>
      <c r="H35" s="414"/>
      <c r="I35" s="414"/>
      <c r="J35" s="414"/>
      <c r="M35" s="419"/>
      <c r="N35" s="476"/>
      <c r="O35" s="476"/>
      <c r="P35" s="476"/>
      <c r="Q35" s="476"/>
      <c r="R35" s="476"/>
      <c r="S35" s="476"/>
      <c r="T35" s="476"/>
      <c r="U35" s="476"/>
      <c r="V35" s="476"/>
      <c r="W35" s="477"/>
      <c r="X35" s="476"/>
      <c r="Y35" s="477"/>
      <c r="Z35" s="421" t="s">
        <v>4554</v>
      </c>
      <c r="AA35" s="477"/>
      <c r="AB35" s="477"/>
      <c r="AC35" s="477"/>
      <c r="AD35" s="477"/>
      <c r="AE35" s="477"/>
      <c r="AF35" s="477"/>
      <c r="AG35" s="477"/>
      <c r="AH35" s="477"/>
      <c r="AI35" s="477"/>
      <c r="AJ35" s="420"/>
      <c r="AP35" s="414"/>
      <c r="AQ35" s="466"/>
      <c r="AR35" s="466"/>
      <c r="AS35" s="466"/>
      <c r="AT35" s="414"/>
      <c r="AU35" s="414"/>
      <c r="AV35" s="414"/>
      <c r="AY35" s="468"/>
      <c r="BA35" s="414"/>
      <c r="BB35" s="466"/>
      <c r="BC35" s="466"/>
      <c r="BD35" s="466"/>
      <c r="BE35" s="414"/>
      <c r="BF35" s="414"/>
      <c r="BG35" s="414"/>
    </row>
    <row r="36" spans="2:59" ht="30.75" customHeight="1" thickBot="1">
      <c r="D36" s="414"/>
      <c r="E36" s="467"/>
      <c r="F36" s="467"/>
      <c r="G36" s="467"/>
      <c r="H36" s="467"/>
      <c r="I36" s="467"/>
      <c r="J36" s="467"/>
      <c r="M36" s="419"/>
      <c r="N36" s="476"/>
      <c r="O36" s="476"/>
      <c r="P36" s="476"/>
      <c r="Q36" s="476"/>
      <c r="R36" s="476"/>
      <c r="S36" s="476"/>
      <c r="T36" s="476"/>
      <c r="U36" s="476"/>
      <c r="V36" s="476"/>
      <c r="W36" s="476"/>
      <c r="X36" s="476"/>
      <c r="Y36" s="477"/>
      <c r="Z36" s="422">
        <f>W40</f>
        <v>0</v>
      </c>
      <c r="AA36" s="477"/>
      <c r="AB36" s="477"/>
      <c r="AC36" s="477"/>
      <c r="AD36" s="477"/>
      <c r="AE36" s="477"/>
      <c r="AF36" s="477"/>
      <c r="AG36" s="477"/>
      <c r="AH36" s="477"/>
      <c r="AI36" s="477"/>
      <c r="AJ36" s="420"/>
      <c r="AP36" s="414"/>
      <c r="AQ36" s="467"/>
      <c r="AR36" s="467"/>
      <c r="AS36" s="467"/>
      <c r="AT36" s="467"/>
      <c r="AU36" s="467"/>
      <c r="AV36" s="467"/>
      <c r="AY36" s="468"/>
      <c r="BA36" s="414"/>
      <c r="BB36" s="467"/>
      <c r="BC36" s="467"/>
      <c r="BD36" s="467"/>
      <c r="BE36" s="467"/>
      <c r="BF36" s="467"/>
      <c r="BG36" s="467"/>
    </row>
    <row r="37" spans="2:59" ht="14.85" customHeight="1">
      <c r="E37" s="414"/>
      <c r="F37" s="414"/>
      <c r="G37" s="414"/>
      <c r="H37" s="467"/>
      <c r="I37" s="467"/>
      <c r="J37" s="467"/>
      <c r="M37" s="419"/>
      <c r="N37" s="476"/>
      <c r="O37" s="476"/>
      <c r="P37" s="476"/>
      <c r="Q37" s="476"/>
      <c r="R37" s="476"/>
      <c r="S37" s="476"/>
      <c r="T37" s="476"/>
      <c r="U37" s="476"/>
      <c r="V37" s="476"/>
      <c r="W37" s="476"/>
      <c r="X37" s="476"/>
      <c r="Y37" s="477"/>
      <c r="Z37" s="477"/>
      <c r="AA37" s="478"/>
      <c r="AB37" s="478"/>
      <c r="AC37" s="478"/>
      <c r="AD37" s="478"/>
      <c r="AE37" s="478"/>
      <c r="AF37" s="478"/>
      <c r="AG37" s="477"/>
      <c r="AH37" s="477"/>
      <c r="AI37" s="477"/>
      <c r="AJ37" s="420"/>
      <c r="AQ37" s="414"/>
      <c r="AR37" s="414"/>
      <c r="AS37" s="414"/>
      <c r="AT37" s="467"/>
      <c r="AU37" s="467"/>
      <c r="AV37" s="467"/>
      <c r="BB37" s="414"/>
      <c r="BC37" s="414"/>
      <c r="BD37" s="414"/>
      <c r="BE37" s="467"/>
      <c r="BF37" s="467"/>
      <c r="BG37" s="467"/>
    </row>
    <row r="38" spans="2:59" ht="14.85" customHeight="1">
      <c r="D38" s="414"/>
      <c r="E38" s="414"/>
      <c r="F38" s="414"/>
      <c r="G38" s="414"/>
      <c r="H38" s="414"/>
      <c r="I38" s="414"/>
      <c r="J38" s="414"/>
      <c r="M38" s="419"/>
      <c r="N38" s="476"/>
      <c r="O38" s="476"/>
      <c r="P38" s="476"/>
      <c r="Q38" s="476"/>
      <c r="R38" s="476"/>
      <c r="S38" s="476"/>
      <c r="T38" s="476"/>
      <c r="U38" s="476"/>
      <c r="V38" s="476"/>
      <c r="W38" s="477"/>
      <c r="X38" s="476"/>
      <c r="Y38" s="477"/>
      <c r="Z38" s="486" t="s">
        <v>4555</v>
      </c>
      <c r="AA38" s="487">
        <v>49.5</v>
      </c>
      <c r="AB38" s="487"/>
      <c r="AC38" s="487">
        <v>106</v>
      </c>
      <c r="AD38" s="487">
        <v>297.5</v>
      </c>
      <c r="AE38" s="487">
        <v>351</v>
      </c>
      <c r="AF38" s="487">
        <v>456.5</v>
      </c>
      <c r="AG38" s="477"/>
      <c r="AH38" s="477"/>
      <c r="AI38" s="477"/>
      <c r="AJ38" s="420"/>
      <c r="AP38" s="414"/>
      <c r="AQ38" s="414"/>
      <c r="AR38" s="414"/>
      <c r="AS38" s="414"/>
      <c r="AT38" s="414"/>
      <c r="AU38" s="414"/>
      <c r="AV38" s="414"/>
      <c r="BA38" s="414"/>
      <c r="BB38" s="414"/>
      <c r="BC38" s="414"/>
      <c r="BD38" s="414"/>
      <c r="BE38" s="414"/>
      <c r="BF38" s="414"/>
      <c r="BG38" s="414"/>
    </row>
    <row r="39" spans="2:59" ht="18.75">
      <c r="D39" s="414"/>
      <c r="E39" s="469"/>
      <c r="F39" s="469"/>
      <c r="G39" s="469"/>
      <c r="H39" s="469"/>
      <c r="I39" s="469"/>
      <c r="J39" s="469"/>
      <c r="M39" s="419"/>
      <c r="N39" s="476"/>
      <c r="O39" s="476"/>
      <c r="P39" s="476"/>
      <c r="Q39" s="476"/>
      <c r="R39" s="476"/>
      <c r="S39" s="476"/>
      <c r="T39" s="476"/>
      <c r="U39" s="476"/>
      <c r="V39" s="476"/>
      <c r="W39" s="423">
        <f>W40-20</f>
        <v>-20</v>
      </c>
      <c r="X39" s="424" t="str">
        <f>IF(W39&gt;0,"přebývá!","")</f>
        <v/>
      </c>
      <c r="Y39" s="477"/>
      <c r="Z39" s="425"/>
      <c r="AA39" s="426" t="s">
        <v>4556</v>
      </c>
      <c r="AB39" s="426"/>
      <c r="AC39" s="426" t="s">
        <v>4557</v>
      </c>
      <c r="AD39" s="427" t="s">
        <v>4558</v>
      </c>
      <c r="AE39" s="427" t="s">
        <v>4559</v>
      </c>
      <c r="AF39" s="428" t="s">
        <v>4560</v>
      </c>
      <c r="AG39" s="477"/>
      <c r="AH39" s="477"/>
      <c r="AI39" s="477"/>
      <c r="AJ39" s="420"/>
      <c r="AP39" s="414"/>
      <c r="AQ39" s="469"/>
      <c r="AR39" s="469"/>
      <c r="AS39" s="469"/>
      <c r="AT39" s="469"/>
      <c r="AU39" s="469"/>
      <c r="AV39" s="469"/>
      <c r="BA39" s="414"/>
      <c r="BB39" s="469"/>
      <c r="BC39" s="469"/>
      <c r="BD39" s="469"/>
      <c r="BE39" s="469"/>
      <c r="BF39" s="469"/>
      <c r="BG39" s="469"/>
    </row>
    <row r="40" spans="2:59" ht="31.5" customHeight="1">
      <c r="D40" s="414"/>
      <c r="E40" s="414"/>
      <c r="F40" s="414"/>
      <c r="G40" s="414"/>
      <c r="H40" s="414"/>
      <c r="I40" s="414"/>
      <c r="J40" s="414"/>
      <c r="M40" s="419"/>
      <c r="N40" s="476"/>
      <c r="O40" s="476"/>
      <c r="P40" s="476"/>
      <c r="Q40" s="476"/>
      <c r="R40" s="476"/>
      <c r="S40" s="476"/>
      <c r="T40" s="476"/>
      <c r="U40" s="476"/>
      <c r="V40" s="476"/>
      <c r="W40" s="429">
        <f>SUM(W42:W47)</f>
        <v>0</v>
      </c>
      <c r="X40" s="423" t="s">
        <v>4561</v>
      </c>
      <c r="Y40" s="477"/>
      <c r="Z40" s="430" t="s">
        <v>4562</v>
      </c>
      <c r="AA40" s="431">
        <v>3</v>
      </c>
      <c r="AB40" s="431"/>
      <c r="AC40" s="431">
        <v>2</v>
      </c>
      <c r="AD40" s="431">
        <v>20</v>
      </c>
      <c r="AE40" s="431">
        <v>20</v>
      </c>
      <c r="AF40" s="432">
        <v>20</v>
      </c>
      <c r="AG40" s="477"/>
      <c r="AH40" s="477"/>
      <c r="AI40" s="477"/>
      <c r="AJ40" s="420"/>
      <c r="AP40" s="414"/>
      <c r="AQ40" s="414"/>
      <c r="AR40" s="414"/>
      <c r="AS40" s="414"/>
      <c r="AT40" s="414"/>
      <c r="AU40" s="414"/>
      <c r="AV40" s="414"/>
      <c r="BA40" s="414"/>
      <c r="BB40" s="414"/>
      <c r="BC40" s="414"/>
      <c r="BD40" s="414"/>
      <c r="BE40" s="414"/>
      <c r="BF40" s="414"/>
      <c r="BG40" s="414"/>
    </row>
    <row r="41" spans="2:59" ht="45">
      <c r="E41" s="414"/>
      <c r="F41" s="414"/>
      <c r="G41" s="414"/>
      <c r="H41" s="414"/>
      <c r="I41" s="414"/>
      <c r="J41" s="414"/>
      <c r="M41" s="419" t="s">
        <v>4563</v>
      </c>
      <c r="N41" s="476"/>
      <c r="O41" s="476"/>
      <c r="P41" s="476"/>
      <c r="Q41" s="476"/>
      <c r="R41" s="476"/>
      <c r="S41" s="489" t="s">
        <v>4564</v>
      </c>
      <c r="T41" s="489" t="s">
        <v>4565</v>
      </c>
      <c r="U41" s="479" t="s">
        <v>4566</v>
      </c>
      <c r="V41" s="476"/>
      <c r="W41" s="429" t="s">
        <v>4567</v>
      </c>
      <c r="X41" s="433" t="s">
        <v>4568</v>
      </c>
      <c r="Y41" s="434" t="s">
        <v>4568</v>
      </c>
      <c r="Z41" s="435"/>
      <c r="AA41" s="436"/>
      <c r="AB41" s="436"/>
      <c r="AC41" s="436"/>
      <c r="AD41" s="436"/>
      <c r="AE41" s="436"/>
      <c r="AF41" s="437"/>
      <c r="AG41" s="477"/>
      <c r="AH41" s="477"/>
      <c r="AI41" s="477"/>
      <c r="AJ41" s="420"/>
      <c r="AL41" s="1">
        <f>SUMIFS(W42:W47,V42:V47,"paleta")</f>
        <v>0</v>
      </c>
      <c r="AQ41" s="414"/>
      <c r="AR41" s="414"/>
      <c r="AS41" s="414"/>
      <c r="AT41" s="414"/>
      <c r="AU41" s="414"/>
      <c r="AV41" s="414"/>
      <c r="BB41" s="414"/>
      <c r="BC41" s="414"/>
      <c r="BD41" s="414"/>
      <c r="BE41" s="414"/>
      <c r="BF41" s="414"/>
      <c r="BG41" s="414"/>
    </row>
    <row r="42" spans="2:59" ht="18.75">
      <c r="E42" s="414"/>
      <c r="F42" s="414"/>
      <c r="G42" s="414"/>
      <c r="H42" s="414"/>
      <c r="I42" s="414"/>
      <c r="J42" s="414"/>
      <c r="M42" s="438" t="s">
        <v>4569</v>
      </c>
      <c r="N42" s="439" t="str">
        <f>IF(AND(IF($T42&lt;=AA$33,"balík A","ne")="balík A",IF($S42&lt;=AA$32,"balík A","ne")="balík A",$AA$39="balík A"),"balík A","ne")</f>
        <v>balík A</v>
      </c>
      <c r="O42" s="439" t="str">
        <f>IF(AND(IF($T42&lt;=AC$33,"balík B","ne")="balík B",IF($S42&lt;=AC$32,"balík B","ne")="balík B",$AC$39="balík B"),"balík B","ne")</f>
        <v>balík B</v>
      </c>
      <c r="P42" s="439" t="str">
        <f>IF(AND(T42&lt;=$AD$33,$S42&lt;=AD$32),"paleta A","ne")</f>
        <v>paleta A</v>
      </c>
      <c r="Q42" s="439" t="str">
        <f>IF(AND(T42&lt;=$AD$33,$S42&lt;=AE$32),"paleta B","ne")</f>
        <v>paleta B</v>
      </c>
      <c r="R42" s="439" t="str">
        <f>IF(AND(T42&lt;=$AD$33,$S42&lt;=AF$32),"paleta C","ne")</f>
        <v>paleta C</v>
      </c>
      <c r="S42" s="429">
        <f>MAX(X42:Y42)</f>
        <v>0</v>
      </c>
      <c r="T42" s="429">
        <f>MIN(X42:Y42)</f>
        <v>0</v>
      </c>
      <c r="U42" s="440" t="str">
        <f>IF(N42&lt;&gt;"ne",N42,IF(O42&lt;&gt;"NE",O42,IF(P42&lt;&gt;"NE",P42,IF(Q42&lt;&gt;"NE",Q42,IF(R42&lt;&gt;"Ne",R42,"ne")))))</f>
        <v>balík A</v>
      </c>
      <c r="V42" s="441" t="str">
        <f>_xlfn.TEXTBEFORE(U42," ")</f>
        <v>balík</v>
      </c>
      <c r="W42" s="442">
        <f>Ram_1!$H$28</f>
        <v>0</v>
      </c>
      <c r="X42" s="443">
        <f>Ram_1!AI30</f>
        <v>0</v>
      </c>
      <c r="Y42" s="444">
        <f>Ram_1!AR14</f>
        <v>0</v>
      </c>
      <c r="Z42" s="445" t="s">
        <v>4569</v>
      </c>
      <c r="AA42" s="431">
        <f>IF(M33&lt;&gt;3,0,IFERROR((IF(HLOOKUP(AA$39,$N42:$R42,1,0)=AA$39,$W42,0)),0))</f>
        <v>0</v>
      </c>
      <c r="AB42" s="431">
        <f>IFERROR((IF(HLOOKUP(AB$39,$N42:$R42,1,0)=AB$39,$W42,0)),0)</f>
        <v>0</v>
      </c>
      <c r="AC42" s="431">
        <f>IF(M33&lt;&gt;3,0,IFERROR((IF(HLOOKUP(AC$39,$N42:$R42,1,0)=AC$39,W42,0)),0))</f>
        <v>0</v>
      </c>
      <c r="AD42" s="431">
        <f>IF(M33&lt;&gt;3,0,IFERROR((IF(HLOOKUP(AD$39,$N42:$R42,1,0)=AD$39,W42,0)),0))</f>
        <v>0</v>
      </c>
      <c r="AE42" s="431">
        <f>IF(M33&lt;&gt;3,0,IFERROR((IF(HLOOKUP(AE$39,$N42:$R42,1,0)=AE$39,W42,0)),0))</f>
        <v>0</v>
      </c>
      <c r="AF42" s="432">
        <f>IF(M33&lt;&gt;3,0,IFERROR((IF(HLOOKUP(AF$39,$N42:$R42,1,0)=AF$39,W42,0)),0))</f>
        <v>0</v>
      </c>
      <c r="AG42" s="477"/>
      <c r="AH42" s="477"/>
      <c r="AI42" s="477"/>
      <c r="AJ42" s="420"/>
      <c r="AQ42" s="414"/>
      <c r="AR42" s="414"/>
      <c r="AS42" s="414"/>
      <c r="AT42" s="414"/>
      <c r="AU42" s="414"/>
      <c r="AV42" s="414"/>
      <c r="BB42" s="414"/>
      <c r="BC42" s="414"/>
      <c r="BD42" s="414"/>
      <c r="BE42" s="414"/>
      <c r="BF42" s="414"/>
      <c r="BG42" s="414"/>
    </row>
    <row r="43" spans="2:59" ht="18.75">
      <c r="E43" s="414"/>
      <c r="F43" s="414"/>
      <c r="G43" s="414"/>
      <c r="H43" s="414"/>
      <c r="I43" s="414"/>
      <c r="J43" s="414"/>
      <c r="M43" s="438" t="s">
        <v>4570</v>
      </c>
      <c r="N43" s="439" t="str">
        <f t="shared" ref="N43:N46" si="1">IF(AND(IF($T43&lt;=AA$33,"balík A","ne")="balík A",IF($S43&lt;=AA$32,"balík A","ne")="balík A",$AA$39="balík A"),"balík A","ne")</f>
        <v>balík A</v>
      </c>
      <c r="O43" s="439" t="str">
        <f t="shared" ref="O43:O47" si="2">IF(AND(IF($T43&lt;=AC$33,"balík B","ne")="balík B",IF($S43&lt;=AC$32,"balík B","ne")="balík B",$AC$39="balík B"),"balík B","ne")</f>
        <v>balík B</v>
      </c>
      <c r="P43" s="439" t="str">
        <f t="shared" ref="P43:P47" si="3">IF(AND(T43&lt;=$AD$33,$S43&lt;=AD$32),"paleta A","ne")</f>
        <v>paleta A</v>
      </c>
      <c r="Q43" s="439" t="str">
        <f t="shared" ref="Q43:Q47" si="4">IF(AND(T43&lt;=$AD$33,$S43&lt;=AE$32),"paleta B","ne")</f>
        <v>paleta B</v>
      </c>
      <c r="R43" s="439" t="str">
        <f t="shared" ref="R43:R47" si="5">IF(AND(T43&lt;=$AD$33,$S43&lt;=AF$32),"paleta C","ne")</f>
        <v>paleta C</v>
      </c>
      <c r="S43" s="429">
        <f>MAX(X43:Y43)</f>
        <v>0</v>
      </c>
      <c r="T43" s="429">
        <f t="shared" ref="T43:T46" si="6">MIN(X43:Y43)</f>
        <v>0</v>
      </c>
      <c r="U43" s="440" t="str">
        <f t="shared" ref="U43:U47" si="7">IF(N43&lt;&gt;"ne",N43,IF(O43&lt;&gt;"NE",O43,IF(P43&lt;&gt;"NE",P43,IF(Q43&lt;&gt;"NE",Q43,IF(R43&lt;&gt;"Ne",R43,"ne")))))</f>
        <v>balík A</v>
      </c>
      <c r="V43" s="441" t="str">
        <f t="shared" ref="V43:V47" si="8">_xlfn.TEXTBEFORE(U43," ")</f>
        <v>balík</v>
      </c>
      <c r="W43" s="442">
        <f>Ram_2!$H$28</f>
        <v>0</v>
      </c>
      <c r="X43" s="443">
        <f>Ram_2!AI30</f>
        <v>0</v>
      </c>
      <c r="Y43" s="444">
        <f>Ram_2!AR14</f>
        <v>0</v>
      </c>
      <c r="Z43" s="445" t="s">
        <v>4570</v>
      </c>
      <c r="AA43" s="431">
        <f>IF(M33&lt;&gt;3,0,IFERROR((IF(HLOOKUP(AA$39,$N43:$R43,1,0)=AA$39,$W43,0)),0))</f>
        <v>0</v>
      </c>
      <c r="AB43" s="431"/>
      <c r="AC43" s="431">
        <f>IF(M33&lt;&gt;3,0,IFERROR((IF(HLOOKUP(AC$39,$N43:$R43,1,0)=AC$39,W43,0)),0))</f>
        <v>0</v>
      </c>
      <c r="AD43" s="431">
        <f>IF(M33&lt;&gt;3,0,IFERROR((IF(HLOOKUP(AD$39,$N43:$R43,1,0)=AD$39,W43,0)),0))</f>
        <v>0</v>
      </c>
      <c r="AE43" s="431">
        <f>IF(M33&lt;&gt;3,0,IFERROR((IF(HLOOKUP(AE$39,$N43:$R43,1,0)=AE$39,W43,0)),0))</f>
        <v>0</v>
      </c>
      <c r="AF43" s="432">
        <f>IF(M33&lt;&gt;3,0,IFERROR((IF(HLOOKUP(AF$39,$N43:$R43,1,0)=AF$39,W43,0)),0))</f>
        <v>0</v>
      </c>
      <c r="AG43" s="477"/>
      <c r="AH43" s="477"/>
      <c r="AI43" s="477"/>
      <c r="AJ43" s="420"/>
      <c r="AR43" s="414"/>
      <c r="AS43" s="414"/>
      <c r="AT43" s="414"/>
      <c r="AU43" s="414"/>
      <c r="BB43" s="414"/>
      <c r="BC43" s="414"/>
      <c r="BD43" s="414"/>
      <c r="BE43" s="414"/>
      <c r="BF43" s="414"/>
      <c r="BG43" s="414"/>
    </row>
    <row r="44" spans="2:59" ht="18.75">
      <c r="E44" s="414"/>
      <c r="F44" s="414"/>
      <c r="G44" s="414"/>
      <c r="H44" s="414"/>
      <c r="I44" s="414"/>
      <c r="J44" s="414"/>
      <c r="M44" s="438" t="s">
        <v>4571</v>
      </c>
      <c r="N44" s="439" t="str">
        <f t="shared" si="1"/>
        <v>balík A</v>
      </c>
      <c r="O44" s="439" t="str">
        <f t="shared" si="2"/>
        <v>balík B</v>
      </c>
      <c r="P44" s="439" t="str">
        <f t="shared" si="3"/>
        <v>paleta A</v>
      </c>
      <c r="Q44" s="439" t="str">
        <f t="shared" si="4"/>
        <v>paleta B</v>
      </c>
      <c r="R44" s="439" t="str">
        <f t="shared" si="5"/>
        <v>paleta C</v>
      </c>
      <c r="S44" s="429">
        <f t="shared" ref="S44:S46" si="9">MAX(X44:Y44)</f>
        <v>0</v>
      </c>
      <c r="T44" s="429">
        <f>MIN(X44:Y44)</f>
        <v>0</v>
      </c>
      <c r="U44" s="440" t="str">
        <f t="shared" si="7"/>
        <v>balík A</v>
      </c>
      <c r="V44" s="441" t="str">
        <f t="shared" si="8"/>
        <v>balík</v>
      </c>
      <c r="W44" s="442">
        <f>Ram_3!H28</f>
        <v>0</v>
      </c>
      <c r="X44" s="443">
        <f>Ram_3!AI30</f>
        <v>0</v>
      </c>
      <c r="Y44" s="444">
        <f>Ram_3!AR14</f>
        <v>0</v>
      </c>
      <c r="Z44" s="445" t="s">
        <v>4571</v>
      </c>
      <c r="AA44" s="431">
        <f>IF(M33&lt;&gt;3,0,IFERROR((IF(HLOOKUP(AA$39,$N44:$R44,1,0)=AA$39,$W44,0)),0))</f>
        <v>0</v>
      </c>
      <c r="AB44" s="431"/>
      <c r="AC44" s="431">
        <f>IF(M33&lt;&gt;3,0,IFERROR((IF(HLOOKUP(AC$39,$N44:$R44,1,0)=AC$39,W44,0)),0))</f>
        <v>0</v>
      </c>
      <c r="AD44" s="431">
        <f>IF(M33&lt;&gt;3,0,IFERROR((IF(HLOOKUP(AD$39,$N44:$R44,1,0)=AD$39,W44,0)),0))</f>
        <v>0</v>
      </c>
      <c r="AE44" s="431">
        <f>IF(M33&lt;&gt;3,0,IFERROR((IF(HLOOKUP(AE$39,$N44:$R44,1,0)=AE$39,W44,0)),0))</f>
        <v>0</v>
      </c>
      <c r="AF44" s="432">
        <f>IF(M33&lt;&gt;3,0,IFERROR((IF(HLOOKUP(AF$39,$N44:$R44,1,0)=AF$39,W44,0)),0))</f>
        <v>0</v>
      </c>
      <c r="AG44" s="477"/>
      <c r="AH44" s="477"/>
      <c r="AI44" s="477"/>
      <c r="AJ44" s="420"/>
      <c r="AQ44" s="414"/>
      <c r="AR44" s="414"/>
      <c r="AS44" s="414"/>
      <c r="AT44" s="414"/>
      <c r="AU44" s="414"/>
      <c r="AV44" s="414"/>
      <c r="BB44" s="414"/>
      <c r="BC44" s="414"/>
      <c r="BD44" s="414"/>
      <c r="BE44" s="414"/>
      <c r="BF44" s="414"/>
      <c r="BG44" s="414"/>
    </row>
    <row r="45" spans="2:59" ht="18.75">
      <c r="E45" s="414"/>
      <c r="F45" s="414"/>
      <c r="G45" s="414"/>
      <c r="H45" s="414"/>
      <c r="I45" s="414"/>
      <c r="J45" s="414"/>
      <c r="M45" s="438" t="s">
        <v>4572</v>
      </c>
      <c r="N45" s="439" t="str">
        <f t="shared" si="1"/>
        <v>balík A</v>
      </c>
      <c r="O45" s="439" t="str">
        <f t="shared" si="2"/>
        <v>balík B</v>
      </c>
      <c r="P45" s="439" t="str">
        <f t="shared" si="3"/>
        <v>paleta A</v>
      </c>
      <c r="Q45" s="439" t="str">
        <f t="shared" si="4"/>
        <v>paleta B</v>
      </c>
      <c r="R45" s="439" t="str">
        <f t="shared" si="5"/>
        <v>paleta C</v>
      </c>
      <c r="S45" s="429">
        <f t="shared" si="9"/>
        <v>0</v>
      </c>
      <c r="T45" s="429">
        <f t="shared" si="6"/>
        <v>0</v>
      </c>
      <c r="U45" s="440" t="str">
        <f t="shared" si="7"/>
        <v>balík A</v>
      </c>
      <c r="V45" s="441" t="str">
        <f t="shared" si="8"/>
        <v>balík</v>
      </c>
      <c r="W45" s="442">
        <f>Ram_4!H28</f>
        <v>0</v>
      </c>
      <c r="X45" s="443">
        <f>Ram_4!AI30</f>
        <v>0</v>
      </c>
      <c r="Y45" s="444">
        <f>Ram_4!AR14</f>
        <v>0</v>
      </c>
      <c r="Z45" s="445" t="s">
        <v>4572</v>
      </c>
      <c r="AA45" s="431">
        <f>IF(M33&lt;&gt;3,0,IFERROR((IF(HLOOKUP(AA$39,$N45:$R45,1,0)=AA$39,$W45,0)),0))</f>
        <v>0</v>
      </c>
      <c r="AB45" s="431"/>
      <c r="AC45" s="431">
        <f>IF(M33&lt;&gt;3,0,IFERROR((IF(HLOOKUP(AC$39,$N45:$R45,1,0)=AC$39,W45,0)),0))</f>
        <v>0</v>
      </c>
      <c r="AD45" s="431">
        <f>IF(M33&lt;&gt;3,0,IFERROR((IF(HLOOKUP(AD$39,$N45:$R45,1,0)=AD$39,W45,0)),0))</f>
        <v>0</v>
      </c>
      <c r="AE45" s="431">
        <f>IF(M33&lt;&gt;3,0,IFERROR((IF(HLOOKUP(AE$39,$N45:$R45,1,0)=AE$39,W45,0)),0))</f>
        <v>0</v>
      </c>
      <c r="AF45" s="432">
        <f>IF(M33&lt;&gt;3,0,IFERROR((IF(HLOOKUP(AF$39,$N45:$R45,1,0)=AF$39,W45,0)),0))</f>
        <v>0</v>
      </c>
      <c r="AG45" s="477"/>
      <c r="AH45" s="477"/>
      <c r="AI45" s="477"/>
      <c r="AJ45" s="420"/>
      <c r="AQ45" s="414"/>
      <c r="AR45" s="414"/>
      <c r="AS45" s="414"/>
      <c r="AT45" s="414"/>
      <c r="AU45" s="414"/>
      <c r="AV45" s="414"/>
      <c r="BB45" s="414"/>
      <c r="BC45" s="414"/>
      <c r="BD45" s="414"/>
      <c r="BE45" s="414"/>
      <c r="BF45" s="414"/>
      <c r="BG45" s="414"/>
    </row>
    <row r="46" spans="2:59" ht="18.75">
      <c r="E46" s="414"/>
      <c r="F46" s="414"/>
      <c r="G46" s="414"/>
      <c r="H46" s="414"/>
      <c r="I46" s="414"/>
      <c r="J46" s="414"/>
      <c r="M46" s="438" t="s">
        <v>4573</v>
      </c>
      <c r="N46" s="439" t="str">
        <f t="shared" si="1"/>
        <v>balík A</v>
      </c>
      <c r="O46" s="439" t="str">
        <f>IF(AND(IF($T46&lt;=AC$33,"balík B","ne")="balík B",IF($S46&lt;=AC$32,"balík B","ne")="balík B",$AC$39="balík B"),"balík B","ne")</f>
        <v>balík B</v>
      </c>
      <c r="P46" s="439" t="str">
        <f t="shared" si="3"/>
        <v>paleta A</v>
      </c>
      <c r="Q46" s="439" t="str">
        <f t="shared" si="4"/>
        <v>paleta B</v>
      </c>
      <c r="R46" s="439" t="str">
        <f t="shared" si="5"/>
        <v>paleta C</v>
      </c>
      <c r="S46" s="429">
        <f t="shared" si="9"/>
        <v>0</v>
      </c>
      <c r="T46" s="429">
        <f t="shared" si="6"/>
        <v>0</v>
      </c>
      <c r="U46" s="440" t="str">
        <f t="shared" si="7"/>
        <v>balík A</v>
      </c>
      <c r="V46" s="441" t="str">
        <f t="shared" si="8"/>
        <v>balík</v>
      </c>
      <c r="W46" s="442">
        <f>Ram_5!H28</f>
        <v>0</v>
      </c>
      <c r="X46" s="443">
        <f>Ram_5!AI30</f>
        <v>0</v>
      </c>
      <c r="Y46" s="444">
        <f>Ram_5!AR14</f>
        <v>0</v>
      </c>
      <c r="Z46" s="445" t="s">
        <v>4573</v>
      </c>
      <c r="AA46" s="431">
        <f>IF(M33&lt;&gt;3,0,IFERROR((IF(HLOOKUP(AA$39,$N46:$R46,1,0)=AA$39,$W46,0)),0))</f>
        <v>0</v>
      </c>
      <c r="AB46" s="431"/>
      <c r="AC46" s="431">
        <f>IF(M33&lt;&gt;3,0,IFERROR((IF(HLOOKUP(AC$39,$N46:$R46,1,0)=AC$39,W46,0)),0))</f>
        <v>0</v>
      </c>
      <c r="AD46" s="431">
        <f>IF(M33&lt;&gt;3,0,IFERROR((IF(HLOOKUP(AD$39,$N46:$R46,1,0)=AD$39,W46,0)),0))</f>
        <v>0</v>
      </c>
      <c r="AE46" s="431">
        <f>IF(M33&lt;&gt;3,0,IFERROR((IF(HLOOKUP(AE$39,$N46:$R46,1,0)=AE$39,W46,0)),0))</f>
        <v>0</v>
      </c>
      <c r="AF46" s="432">
        <f>IF(M33&lt;&gt;3,0,IFERROR((IF(HLOOKUP(AF$39,$N46:$R46,1,0)=AF$39,W46,0)),0))</f>
        <v>0</v>
      </c>
      <c r="AG46" s="477"/>
      <c r="AH46" s="477"/>
      <c r="AI46" s="477"/>
      <c r="AJ46" s="420"/>
      <c r="AQ46" s="414"/>
      <c r="AR46" s="414"/>
      <c r="AS46" s="414"/>
      <c r="AT46" s="414"/>
      <c r="AU46" s="414"/>
      <c r="AV46" s="414"/>
      <c r="BB46" s="414"/>
      <c r="BC46" s="414"/>
      <c r="BD46" s="414"/>
      <c r="BE46" s="414"/>
      <c r="BF46" s="414"/>
      <c r="BG46" s="414"/>
    </row>
    <row r="47" spans="2:59" ht="19.5" outlineLevel="1" thickBot="1">
      <c r="E47" s="414"/>
      <c r="F47" s="414"/>
      <c r="G47" s="414"/>
      <c r="H47" s="414"/>
      <c r="I47" s="414"/>
      <c r="J47" s="414"/>
      <c r="M47" s="438" t="s">
        <v>4574</v>
      </c>
      <c r="N47" s="439" t="str">
        <f>IF(AND(IF($T47&lt;=AA$33,"balík A","ne")="balík A",IF($S47&lt;=AA$32,"balík A","ne")="balík A",$AA$39="balík A"),"balík A","ne")</f>
        <v>balík A</v>
      </c>
      <c r="O47" s="439" t="str">
        <f t="shared" si="2"/>
        <v>balík B</v>
      </c>
      <c r="P47" s="439" t="str">
        <f t="shared" si="3"/>
        <v>paleta A</v>
      </c>
      <c r="Q47" s="439" t="str">
        <f t="shared" si="4"/>
        <v>paleta B</v>
      </c>
      <c r="R47" s="439" t="str">
        <f t="shared" si="5"/>
        <v>paleta C</v>
      </c>
      <c r="S47" s="429">
        <f>MAX(X47:Y47)</f>
        <v>0</v>
      </c>
      <c r="T47" s="429">
        <f>MIN(X47:Y47)</f>
        <v>0</v>
      </c>
      <c r="U47" s="440" t="str">
        <f t="shared" si="7"/>
        <v>balík A</v>
      </c>
      <c r="V47" s="441" t="str">
        <f t="shared" si="8"/>
        <v>balík</v>
      </c>
      <c r="W47" s="442">
        <f>Ram_6!H28</f>
        <v>0</v>
      </c>
      <c r="X47" s="443">
        <f>Ram_6!AI30</f>
        <v>0</v>
      </c>
      <c r="Y47" s="444">
        <f>Ram_6!AR14</f>
        <v>0</v>
      </c>
      <c r="Z47" s="446" t="s">
        <v>4574</v>
      </c>
      <c r="AA47" s="447">
        <f>IF(M33&lt;&gt;3,0,IFERROR((IF(HLOOKUP(AA$39,$N47:$R47,1,0)=AA$39,$W47,0)),0))</f>
        <v>0</v>
      </c>
      <c r="AB47" s="447"/>
      <c r="AC47" s="447">
        <f>IF(M33&lt;&gt;3,0,IFERROR((IF(HLOOKUP(AC$39,$N47:$R47,1,0)=AC$39,W47,0)),0))</f>
        <v>0</v>
      </c>
      <c r="AD47" s="447">
        <f>IF(M33&lt;&gt;3,0,IFERROR((IF(HLOOKUP(AD$39,$N47:$R47,1,0)=AD$39,W47,0)),0))</f>
        <v>0</v>
      </c>
      <c r="AE47" s="447">
        <f>IF(M33&lt;&gt;3,0,IFERROR((IF(HLOOKUP(AE$39,$N47:$R47,1,0)=AE$39,W47,0)),0))</f>
        <v>0</v>
      </c>
      <c r="AF47" s="493">
        <f>IF(M33&lt;&gt;3,0,IFERROR((IF(HLOOKUP(AF$39,$N47:$R47,1,0)=AF$39,W47,0)),0))</f>
        <v>0</v>
      </c>
      <c r="AG47" s="477"/>
      <c r="AH47" s="477"/>
      <c r="AI47" s="477"/>
      <c r="AJ47" s="420"/>
      <c r="AQ47" s="414"/>
      <c r="AR47" s="414"/>
      <c r="AS47" s="414"/>
      <c r="AT47" s="414"/>
      <c r="AU47" s="414"/>
      <c r="AV47" s="414"/>
      <c r="BB47" s="414"/>
      <c r="BC47" s="414"/>
      <c r="BD47" s="414"/>
      <c r="BE47" s="414"/>
      <c r="BF47" s="414"/>
      <c r="BG47" s="414"/>
    </row>
    <row r="48" spans="2:59" ht="15" outlineLevel="6">
      <c r="E48" s="414"/>
      <c r="F48" s="414"/>
      <c r="G48" s="414"/>
      <c r="H48" s="414"/>
      <c r="I48" s="414"/>
      <c r="J48" s="414"/>
      <c r="M48" s="419"/>
      <c r="N48" s="476"/>
      <c r="O48" s="476"/>
      <c r="P48" s="476"/>
      <c r="Q48" s="476"/>
      <c r="R48" s="476"/>
      <c r="S48" s="476"/>
      <c r="T48" s="476"/>
      <c r="U48" s="476" t="str">
        <f>IFERROR((VLOOKUP("ne",U42:U47,1,0)),"ano")</f>
        <v>ano</v>
      </c>
      <c r="V48" s="476"/>
      <c r="W48" s="476"/>
      <c r="X48" s="480"/>
      <c r="Y48" s="478"/>
      <c r="Z48" s="477"/>
      <c r="AA48" s="478">
        <f>SUM(AA42:AA47)</f>
        <v>0</v>
      </c>
      <c r="AB48" s="478"/>
      <c r="AC48" s="478">
        <f>SUM(AC42:AC47)-(IF(O42="ne",0,AA48))</f>
        <v>0</v>
      </c>
      <c r="AD48" s="478">
        <f>SUM(AD42:AD47)-SUM($AA$48:AC48)</f>
        <v>0</v>
      </c>
      <c r="AE48" s="478">
        <f>SUM(AE42:AE47)-SUM($AA$48:AD48)</f>
        <v>0</v>
      </c>
      <c r="AF48" s="478">
        <f>SUM(AF42:AF47)-SUM($AA$48:AE48)</f>
        <v>0</v>
      </c>
      <c r="AG48" s="477"/>
      <c r="AH48" s="481" t="s">
        <v>4575</v>
      </c>
      <c r="AI48" s="477"/>
      <c r="AJ48" s="420"/>
      <c r="AQ48" s="414"/>
      <c r="AR48" s="414"/>
      <c r="AS48" s="414"/>
      <c r="AT48" s="414"/>
      <c r="AU48" s="414"/>
      <c r="AV48" s="414"/>
      <c r="BB48" s="414"/>
      <c r="BC48" s="414"/>
      <c r="BD48" s="414"/>
      <c r="BE48" s="414"/>
      <c r="BF48" s="414"/>
      <c r="BG48" s="414"/>
    </row>
    <row r="49" spans="1:59" ht="15" outlineLevel="6">
      <c r="E49" s="414"/>
      <c r="F49" s="414"/>
      <c r="G49" s="414"/>
      <c r="H49" s="414"/>
      <c r="I49" s="414"/>
      <c r="J49" s="414"/>
      <c r="M49" s="419"/>
      <c r="N49" s="476"/>
      <c r="O49" s="476"/>
      <c r="P49" s="476"/>
      <c r="Q49" s="476"/>
      <c r="R49" s="476"/>
      <c r="S49" s="476"/>
      <c r="T49" s="476"/>
      <c r="U49" s="476"/>
      <c r="V49" s="476"/>
      <c r="W49" s="476"/>
      <c r="X49" s="480"/>
      <c r="Y49" s="478"/>
      <c r="Z49" s="477"/>
      <c r="AA49" s="478">
        <f>CEILING(AA48/AA40,1)</f>
        <v>0</v>
      </c>
      <c r="AB49" s="478" t="e">
        <f>FLOOR(AB48/AB40,1)</f>
        <v>#DIV/0!</v>
      </c>
      <c r="AC49" s="478">
        <f>CEILING(AC48/AC40,1)</f>
        <v>0</v>
      </c>
      <c r="AD49" s="478"/>
      <c r="AE49" s="478"/>
      <c r="AF49" s="478"/>
      <c r="AG49" s="477"/>
      <c r="AH49" s="477" t="s">
        <v>4576</v>
      </c>
      <c r="AI49" s="477"/>
      <c r="AJ49" s="420"/>
      <c r="AQ49" s="414"/>
      <c r="AR49" s="414"/>
      <c r="AS49" s="414"/>
      <c r="AT49" s="414"/>
      <c r="AU49" s="414"/>
      <c r="AV49" s="414"/>
      <c r="BB49" s="414"/>
      <c r="BC49" s="414"/>
      <c r="BD49" s="414"/>
      <c r="BE49" s="414"/>
      <c r="BF49" s="414"/>
      <c r="BG49" s="414"/>
    </row>
    <row r="50" spans="1:59" ht="15" outlineLevel="6">
      <c r="E50" s="414"/>
      <c r="F50" s="414"/>
      <c r="G50" s="414"/>
      <c r="H50" s="414"/>
      <c r="I50" s="414"/>
      <c r="J50" s="414"/>
      <c r="M50" s="419"/>
      <c r="N50" s="476"/>
      <c r="O50" s="476"/>
      <c r="P50" s="476"/>
      <c r="Q50" s="476"/>
      <c r="R50" s="476"/>
      <c r="S50" s="476"/>
      <c r="T50" s="476"/>
      <c r="U50" s="476"/>
      <c r="V50" s="476"/>
      <c r="W50" s="476"/>
      <c r="X50" s="480"/>
      <c r="Y50" s="478"/>
      <c r="Z50" s="477"/>
      <c r="AA50" s="478">
        <f>SUM(AA42:AA47)</f>
        <v>0</v>
      </c>
      <c r="AB50" s="478"/>
      <c r="AC50" s="478">
        <f>SUM(AC42:AC47)</f>
        <v>0</v>
      </c>
      <c r="AD50" s="478">
        <f t="shared" ref="AD50" si="10">SUM(AD42:AD47)</f>
        <v>0</v>
      </c>
      <c r="AE50" s="478">
        <f>SUM(AE42:AE47)</f>
        <v>0</v>
      </c>
      <c r="AF50" s="478">
        <f>SUM(AF42:AF47)</f>
        <v>0</v>
      </c>
      <c r="AG50" s="477"/>
      <c r="AH50" s="481" t="s">
        <v>4577</v>
      </c>
      <c r="AI50" s="477"/>
      <c r="AJ50" s="420"/>
      <c r="AQ50" s="414"/>
      <c r="AR50" s="414"/>
      <c r="AS50" s="414"/>
      <c r="AT50" s="414"/>
      <c r="AU50" s="414"/>
      <c r="AV50" s="414"/>
      <c r="BB50" s="414"/>
      <c r="BC50" s="414"/>
      <c r="BD50" s="414"/>
      <c r="BE50" s="414"/>
      <c r="BF50" s="414"/>
      <c r="BG50" s="414"/>
    </row>
    <row r="51" spans="1:59" ht="15" outlineLevel="6">
      <c r="M51" s="419"/>
      <c r="N51" s="476"/>
      <c r="O51" s="476"/>
      <c r="P51" s="476"/>
      <c r="Q51" s="476"/>
      <c r="R51" s="476"/>
      <c r="S51" s="476"/>
      <c r="T51" s="476"/>
      <c r="U51" s="476"/>
      <c r="V51" s="476"/>
      <c r="W51" s="476"/>
      <c r="X51" s="476"/>
      <c r="Y51" s="477"/>
      <c r="Z51" s="477"/>
      <c r="AA51" s="478">
        <f t="shared" ref="AA51:AF51" si="11">CEILING(AA50/AA40,1)</f>
        <v>0</v>
      </c>
      <c r="AB51" s="478" t="e">
        <f t="shared" si="11"/>
        <v>#DIV/0!</v>
      </c>
      <c r="AC51" s="478">
        <f t="shared" si="11"/>
        <v>0</v>
      </c>
      <c r="AD51" s="478">
        <f t="shared" si="11"/>
        <v>0</v>
      </c>
      <c r="AE51" s="478">
        <f t="shared" si="11"/>
        <v>0</v>
      </c>
      <c r="AF51" s="478">
        <f t="shared" si="11"/>
        <v>0</v>
      </c>
      <c r="AG51" s="477"/>
      <c r="AH51" s="477" t="s">
        <v>4578</v>
      </c>
      <c r="AI51" s="477"/>
      <c r="AJ51" s="420"/>
    </row>
    <row r="52" spans="1:59" ht="15" outlineLevel="6">
      <c r="M52" s="419"/>
      <c r="N52" s="476"/>
      <c r="O52" s="476"/>
      <c r="P52" s="476"/>
      <c r="Q52" s="476"/>
      <c r="R52" s="476"/>
      <c r="S52" s="476"/>
      <c r="T52" s="476"/>
      <c r="U52" s="476"/>
      <c r="V52" s="476"/>
      <c r="W52" s="476"/>
      <c r="X52" s="476"/>
      <c r="Y52" s="477"/>
      <c r="Z52" s="477"/>
      <c r="AA52" s="478">
        <f>CEILING(AA50/AA40,1)</f>
        <v>0</v>
      </c>
      <c r="AB52" s="478"/>
      <c r="AC52" s="478">
        <f>CEILING((AC50-AA50)/AC40,1)</f>
        <v>0</v>
      </c>
      <c r="AD52" s="478"/>
      <c r="AE52" s="478"/>
      <c r="AF52" s="478"/>
      <c r="AG52" s="477"/>
      <c r="AH52" s="477" t="s">
        <v>4579</v>
      </c>
      <c r="AI52" s="477"/>
      <c r="AJ52" s="420"/>
      <c r="AV52" s="414"/>
    </row>
    <row r="53" spans="1:59" ht="15" outlineLevel="6">
      <c r="M53" s="419"/>
      <c r="N53" s="476"/>
      <c r="O53" s="476"/>
      <c r="P53" s="476"/>
      <c r="Q53" s="476"/>
      <c r="R53" s="476"/>
      <c r="S53" s="476"/>
      <c r="T53" s="476"/>
      <c r="U53" s="476"/>
      <c r="V53" s="476"/>
      <c r="W53" s="476"/>
      <c r="X53" s="476"/>
      <c r="Y53" s="477"/>
      <c r="Z53" s="477"/>
      <c r="AA53" s="478">
        <f>(AA50/AA40-FLOOR(AA50/AA40,1))*AA40</f>
        <v>0</v>
      </c>
      <c r="AB53" s="478" t="e">
        <f>(AB50/AB40-FLOOR(AB50/AB40,1))*AB40</f>
        <v>#DIV/0!</v>
      </c>
      <c r="AC53" s="478">
        <f>((AC50-AA50)/AC40-FLOOR(AC50/AC40,1))*AC40</f>
        <v>0</v>
      </c>
      <c r="AD53" s="478"/>
      <c r="AE53" s="478"/>
      <c r="AF53" s="478"/>
      <c r="AG53" s="477"/>
      <c r="AH53" s="477" t="s">
        <v>4580</v>
      </c>
      <c r="AI53" s="477"/>
      <c r="AJ53" s="420"/>
    </row>
    <row r="54" spans="1:59" ht="21" customHeight="1" outlineLevel="6">
      <c r="E54" s="463"/>
      <c r="F54" s="463"/>
      <c r="G54" s="463"/>
      <c r="H54" s="464"/>
      <c r="I54" s="464"/>
      <c r="J54" s="464"/>
      <c r="M54" s="419"/>
      <c r="N54" s="476"/>
      <c r="O54" s="476"/>
      <c r="P54" s="476"/>
      <c r="Q54" s="476"/>
      <c r="R54" s="476"/>
      <c r="S54" s="476"/>
      <c r="T54" s="476"/>
      <c r="U54" s="476"/>
      <c r="V54" s="476"/>
      <c r="W54" s="476"/>
      <c r="X54" s="476"/>
      <c r="Y54" s="477"/>
      <c r="Z54" s="477" t="s">
        <v>4581</v>
      </c>
      <c r="AA54" s="482">
        <f>AA48-(FLOOR(AA48/AA40,1)*AA40)</f>
        <v>0</v>
      </c>
      <c r="AB54" s="482" t="e">
        <f>AB49*AB40-AB48</f>
        <v>#DIV/0!</v>
      </c>
      <c r="AC54" s="478"/>
      <c r="AD54" s="478"/>
      <c r="AE54" s="478"/>
      <c r="AF54" s="478"/>
      <c r="AG54" s="477"/>
      <c r="AH54" s="477" t="s">
        <v>4581</v>
      </c>
      <c r="AI54" s="477"/>
      <c r="AJ54" s="420"/>
    </row>
    <row r="55" spans="1:59" ht="21" customHeight="1" outlineLevel="6">
      <c r="E55" s="463"/>
      <c r="F55" s="463"/>
      <c r="G55" s="463"/>
      <c r="H55" s="464"/>
      <c r="I55" s="464"/>
      <c r="J55" s="464"/>
      <c r="M55" s="419"/>
      <c r="N55" s="476"/>
      <c r="O55" s="476"/>
      <c r="P55" s="476"/>
      <c r="Q55" s="476"/>
      <c r="R55" s="476"/>
      <c r="S55" s="476"/>
      <c r="T55" s="476"/>
      <c r="U55" s="476"/>
      <c r="V55" s="476"/>
      <c r="W55" s="476"/>
      <c r="X55" s="476"/>
      <c r="Y55" s="477"/>
      <c r="Z55" s="477"/>
      <c r="AA55" s="482"/>
      <c r="AB55" s="482"/>
      <c r="AC55" s="482">
        <f>AC49*AC40-AC48</f>
        <v>0</v>
      </c>
      <c r="AD55" s="478"/>
      <c r="AE55" s="478"/>
      <c r="AF55" s="478"/>
      <c r="AG55" s="477"/>
      <c r="AH55" s="477" t="s">
        <v>4582</v>
      </c>
      <c r="AI55" s="477"/>
      <c r="AJ55" s="420"/>
    </row>
    <row r="56" spans="1:59" ht="21" customHeight="1" outlineLevel="6">
      <c r="E56" s="463"/>
      <c r="F56" s="463"/>
      <c r="G56" s="463"/>
      <c r="H56" s="464"/>
      <c r="I56" s="464"/>
      <c r="J56" s="464"/>
      <c r="M56" s="419"/>
      <c r="N56" s="476"/>
      <c r="O56" s="476"/>
      <c r="P56" s="476"/>
      <c r="Q56" s="476"/>
      <c r="R56" s="476"/>
      <c r="S56" s="476"/>
      <c r="T56" s="476"/>
      <c r="U56" s="476"/>
      <c r="V56" s="476"/>
      <c r="W56" s="476"/>
      <c r="X56" s="476"/>
      <c r="Y56" s="477"/>
      <c r="Z56" s="477"/>
      <c r="AA56" s="482">
        <f>(AA48-AA54)/AA40</f>
        <v>0</v>
      </c>
      <c r="AB56" s="482"/>
      <c r="AC56" s="478">
        <f>CEILING((AC48+AA54)/AC40,1)</f>
        <v>0</v>
      </c>
      <c r="AD56" s="478"/>
      <c r="AE56" s="478"/>
      <c r="AF56" s="478"/>
      <c r="AG56" s="477"/>
      <c r="AH56" s="481" t="s">
        <v>4583</v>
      </c>
      <c r="AI56" s="477"/>
      <c r="AJ56" s="420"/>
    </row>
    <row r="57" spans="1:59" ht="23.25" customHeight="1" outlineLevel="1" thickBot="1">
      <c r="B57" s="303"/>
      <c r="E57" s="414"/>
      <c r="F57" s="414"/>
      <c r="G57" s="414"/>
      <c r="H57" s="414"/>
      <c r="I57" s="414"/>
      <c r="J57" s="414"/>
      <c r="M57" s="419"/>
      <c r="N57" s="476"/>
      <c r="O57" s="476"/>
      <c r="P57" s="476"/>
      <c r="Q57" s="476"/>
      <c r="R57" s="476"/>
      <c r="S57" s="476"/>
      <c r="T57" s="476"/>
      <c r="U57" s="476"/>
      <c r="V57" s="476"/>
      <c r="W57" s="476"/>
      <c r="X57" s="476"/>
      <c r="Y57" s="477"/>
      <c r="Z57" s="477"/>
      <c r="AA57" s="477"/>
      <c r="AB57" s="477"/>
      <c r="AC57" s="477"/>
      <c r="AD57" s="477"/>
      <c r="AE57" s="477"/>
      <c r="AF57" s="477"/>
      <c r="AG57" s="477"/>
      <c r="AH57" s="477" t="s">
        <v>4584</v>
      </c>
      <c r="AI57" s="477"/>
      <c r="AJ57" s="420"/>
    </row>
    <row r="58" spans="1:59" ht="30" customHeight="1" thickBot="1">
      <c r="A58" s="473"/>
      <c r="B58" s="218"/>
      <c r="D58" s="414"/>
      <c r="E58" s="466"/>
      <c r="F58" s="466"/>
      <c r="G58" s="466"/>
      <c r="H58" s="466"/>
      <c r="I58" s="466"/>
      <c r="J58" s="466"/>
      <c r="M58" s="419"/>
      <c r="N58" s="476"/>
      <c r="O58" s="476"/>
      <c r="P58" s="476"/>
      <c r="Q58" s="476"/>
      <c r="R58" s="476"/>
      <c r="S58" s="476"/>
      <c r="T58" s="476"/>
      <c r="U58" s="476"/>
      <c r="V58" s="476"/>
      <c r="W58" s="476"/>
      <c r="X58" s="476"/>
      <c r="Y58" s="477"/>
      <c r="Z58" s="477"/>
      <c r="AA58" s="448">
        <f>IF(AA50&lt;$Z$36,0,AA51*AA38)</f>
        <v>0</v>
      </c>
      <c r="AB58" s="449">
        <f>IF(AB50&lt;$Z$36,0,AB57)</f>
        <v>0</v>
      </c>
      <c r="AC58" s="449">
        <f>IF(AC50&lt;$Z$36,0,AC51*AC38)</f>
        <v>0</v>
      </c>
      <c r="AD58" s="449">
        <f>IF(AD50&lt;$Z$36,0,AD51*AD38)</f>
        <v>0</v>
      </c>
      <c r="AE58" s="449">
        <f>IF(AE50&lt;$Z$36,0,AE51*AE38)</f>
        <v>0</v>
      </c>
      <c r="AF58" s="450">
        <f>IF(AF50&lt;$Z$36,0,AF51*AF38)</f>
        <v>0</v>
      </c>
      <c r="AG58" s="483">
        <f>(_xlfn.MINIFS(AA57:AF57,AA58:AF58,"&gt;"&amp;0))</f>
        <v>0</v>
      </c>
      <c r="AH58" s="490"/>
      <c r="AI58" s="477"/>
      <c r="AJ58" s="420"/>
    </row>
    <row r="59" spans="1:59" ht="17.25" customHeight="1">
      <c r="A59" s="473"/>
      <c r="B59" s="218"/>
      <c r="D59" s="414"/>
      <c r="E59" s="467"/>
      <c r="F59" s="467"/>
      <c r="G59" s="467"/>
      <c r="H59" s="467"/>
      <c r="I59" s="467"/>
      <c r="J59" s="467"/>
      <c r="M59" s="419"/>
      <c r="N59" s="476"/>
      <c r="O59" s="476"/>
      <c r="P59" s="476"/>
      <c r="Q59" s="476"/>
      <c r="R59" s="476"/>
      <c r="S59" s="476"/>
      <c r="T59" s="476"/>
      <c r="U59" s="476"/>
      <c r="V59" s="476"/>
      <c r="W59" s="476"/>
      <c r="X59" s="476"/>
      <c r="Y59" s="477"/>
      <c r="Z59" s="477"/>
      <c r="AA59" s="484" t="str">
        <f>AA39&amp;" ("&amp;AA51&amp;"ks)"</f>
        <v>balík A (0ks)</v>
      </c>
      <c r="AB59" s="484" t="e">
        <f t="shared" ref="AB59:AF59" si="12">AB39&amp;" ("&amp;AB51&amp;"ks)"</f>
        <v>#DIV/0!</v>
      </c>
      <c r="AC59" s="484" t="str">
        <f t="shared" si="12"/>
        <v>balík B (0ks)</v>
      </c>
      <c r="AD59" s="484" t="str">
        <f t="shared" si="12"/>
        <v>paleta A (0ks)</v>
      </c>
      <c r="AE59" s="484" t="str">
        <f t="shared" si="12"/>
        <v>paleta B (0ks)</v>
      </c>
      <c r="AF59" s="484" t="str">
        <f t="shared" si="12"/>
        <v>paleta C (0ks)</v>
      </c>
      <c r="AG59" s="477"/>
      <c r="AH59" s="490"/>
      <c r="AI59" s="477"/>
      <c r="AJ59" s="420"/>
    </row>
    <row r="60" spans="1:59" ht="17.25" hidden="1" customHeight="1">
      <c r="A60" s="473"/>
      <c r="B60" s="218"/>
      <c r="D60" s="414"/>
      <c r="E60" s="467"/>
      <c r="F60" s="467"/>
      <c r="G60" s="467"/>
      <c r="H60" s="467"/>
      <c r="I60" s="467"/>
      <c r="J60" s="467"/>
      <c r="M60" s="419"/>
      <c r="N60" s="476"/>
      <c r="O60" s="476"/>
      <c r="P60" s="476"/>
      <c r="Q60" s="476"/>
      <c r="R60" s="476"/>
      <c r="S60" s="476"/>
      <c r="T60" s="476"/>
      <c r="U60" s="476"/>
      <c r="V60" s="476"/>
      <c r="W60" s="476"/>
      <c r="X60" s="476"/>
      <c r="Y60" s="477"/>
      <c r="Z60" s="477"/>
      <c r="AA60" s="484"/>
      <c r="AB60" s="484"/>
      <c r="AC60" s="484"/>
      <c r="AD60" s="484"/>
      <c r="AE60" s="484"/>
      <c r="AF60" s="484"/>
      <c r="AG60" s="477"/>
      <c r="AH60" s="490"/>
      <c r="AI60" s="477"/>
      <c r="AJ60" s="420"/>
    </row>
    <row r="61" spans="1:59" ht="17.25" hidden="1" customHeight="1">
      <c r="A61" s="473"/>
      <c r="B61" s="218"/>
      <c r="D61" s="414"/>
      <c r="E61" s="467"/>
      <c r="F61" s="467"/>
      <c r="G61" s="467"/>
      <c r="H61" s="467"/>
      <c r="I61" s="467"/>
      <c r="J61" s="467"/>
      <c r="M61" s="419"/>
      <c r="N61" s="476"/>
      <c r="O61" s="476"/>
      <c r="P61" s="476"/>
      <c r="Q61" s="476"/>
      <c r="R61" s="476"/>
      <c r="S61" s="476"/>
      <c r="T61" s="476"/>
      <c r="U61" s="476"/>
      <c r="V61" s="476"/>
      <c r="W61" s="476"/>
      <c r="X61" s="476"/>
      <c r="Y61" s="477"/>
      <c r="Z61" s="477"/>
      <c r="AA61" s="484"/>
      <c r="AB61" s="484"/>
      <c r="AC61" s="484"/>
      <c r="AD61" s="484"/>
      <c r="AE61" s="484"/>
      <c r="AF61" s="484"/>
      <c r="AG61" s="477"/>
      <c r="AH61" s="490"/>
      <c r="AI61" s="477"/>
      <c r="AJ61" s="420"/>
    </row>
    <row r="62" spans="1:59" ht="17.25" hidden="1" customHeight="1">
      <c r="A62" s="473"/>
      <c r="B62" s="218"/>
      <c r="D62" s="414"/>
      <c r="E62" s="467"/>
      <c r="F62" s="467"/>
      <c r="G62" s="467"/>
      <c r="H62" s="467"/>
      <c r="I62" s="467"/>
      <c r="J62" s="467"/>
      <c r="M62" s="419"/>
      <c r="N62" s="476"/>
      <c r="O62" s="476"/>
      <c r="P62" s="476"/>
      <c r="Q62" s="476"/>
      <c r="R62" s="476"/>
      <c r="S62" s="476"/>
      <c r="T62" s="476"/>
      <c r="U62" s="476"/>
      <c r="V62" s="476"/>
      <c r="W62" s="476"/>
      <c r="X62" s="476"/>
      <c r="Y62" s="477"/>
      <c r="Z62" s="477"/>
      <c r="AA62" s="484"/>
      <c r="AB62" s="484"/>
      <c r="AC62" s="484"/>
      <c r="AD62" s="484"/>
      <c r="AE62" s="484"/>
      <c r="AF62" s="484"/>
      <c r="AG62" s="477"/>
      <c r="AH62" s="490"/>
      <c r="AI62" s="477"/>
      <c r="AJ62" s="420"/>
    </row>
    <row r="63" spans="1:59" ht="17.25" hidden="1" customHeight="1">
      <c r="A63" s="473"/>
      <c r="B63" s="218"/>
      <c r="D63" s="414"/>
      <c r="E63" s="467"/>
      <c r="F63" s="467"/>
      <c r="G63" s="467"/>
      <c r="H63" s="467"/>
      <c r="I63" s="467"/>
      <c r="J63" s="467"/>
      <c r="M63" s="419"/>
      <c r="N63" s="476"/>
      <c r="O63" s="476"/>
      <c r="P63" s="476"/>
      <c r="Q63" s="476"/>
      <c r="R63" s="476"/>
      <c r="S63" s="476"/>
      <c r="T63" s="476"/>
      <c r="U63" s="476"/>
      <c r="V63" s="476"/>
      <c r="W63" s="476"/>
      <c r="X63" s="476"/>
      <c r="Y63" s="477"/>
      <c r="Z63" s="477"/>
      <c r="AA63" s="484"/>
      <c r="AB63" s="484"/>
      <c r="AC63" s="484"/>
      <c r="AD63" s="484"/>
      <c r="AE63" s="484"/>
      <c r="AF63" s="484"/>
      <c r="AG63" s="477"/>
      <c r="AH63" s="490"/>
      <c r="AI63" s="477"/>
      <c r="AJ63" s="420"/>
    </row>
    <row r="64" spans="1:59" ht="17.25" hidden="1" customHeight="1">
      <c r="A64" s="473"/>
      <c r="B64" s="218"/>
      <c r="D64" s="414"/>
      <c r="E64" s="467"/>
      <c r="F64" s="467"/>
      <c r="G64" s="467"/>
      <c r="H64" s="467"/>
      <c r="I64" s="467"/>
      <c r="J64" s="467"/>
      <c r="M64" s="419"/>
      <c r="N64" s="476"/>
      <c r="O64" s="476"/>
      <c r="P64" s="476"/>
      <c r="Q64" s="476"/>
      <c r="R64" s="476"/>
      <c r="S64" s="476"/>
      <c r="T64" s="476"/>
      <c r="U64" s="476"/>
      <c r="V64" s="476"/>
      <c r="W64" s="476"/>
      <c r="X64" s="476"/>
      <c r="Y64" s="477"/>
      <c r="Z64" s="477"/>
      <c r="AA64" s="484"/>
      <c r="AB64" s="484"/>
      <c r="AC64" s="484"/>
      <c r="AD64" s="484"/>
      <c r="AE64" s="484"/>
      <c r="AF64" s="484"/>
      <c r="AG64" s="477"/>
      <c r="AH64" s="490"/>
      <c r="AI64" s="477"/>
      <c r="AJ64" s="420"/>
    </row>
    <row r="65" spans="1:36" ht="17.25" hidden="1" customHeight="1">
      <c r="A65" s="473"/>
      <c r="B65" s="218"/>
      <c r="D65" s="414"/>
      <c r="E65" s="467"/>
      <c r="F65" s="467"/>
      <c r="G65" s="467"/>
      <c r="H65" s="467"/>
      <c r="I65" s="467"/>
      <c r="J65" s="467"/>
      <c r="M65" s="419"/>
      <c r="N65" s="476"/>
      <c r="O65" s="476"/>
      <c r="P65" s="476"/>
      <c r="Q65" s="476"/>
      <c r="R65" s="476"/>
      <c r="S65" s="476"/>
      <c r="T65" s="476"/>
      <c r="U65" s="476"/>
      <c r="V65" s="476"/>
      <c r="W65" s="476"/>
      <c r="X65" s="476"/>
      <c r="Y65" s="477"/>
      <c r="Z65" s="477"/>
      <c r="AA65" s="484"/>
      <c r="AB65" s="484"/>
      <c r="AC65" s="484"/>
      <c r="AD65" s="484"/>
      <c r="AE65" s="484"/>
      <c r="AF65" s="484"/>
      <c r="AG65" s="477"/>
      <c r="AH65" s="490"/>
      <c r="AI65" s="477"/>
      <c r="AJ65" s="420"/>
    </row>
    <row r="66" spans="1:36" ht="17.25" hidden="1" customHeight="1">
      <c r="A66" s="473"/>
      <c r="B66" s="218"/>
      <c r="D66" s="414"/>
      <c r="E66" s="467"/>
      <c r="F66" s="467"/>
      <c r="G66" s="467"/>
      <c r="H66" s="467"/>
      <c r="I66" s="467"/>
      <c r="J66" s="467"/>
      <c r="M66" s="419"/>
      <c r="N66" s="476"/>
      <c r="O66" s="476"/>
      <c r="P66" s="476"/>
      <c r="Q66" s="476"/>
      <c r="R66" s="476"/>
      <c r="S66" s="476"/>
      <c r="T66" s="476"/>
      <c r="U66" s="476"/>
      <c r="V66" s="476"/>
      <c r="W66" s="476"/>
      <c r="X66" s="476"/>
      <c r="Y66" s="477"/>
      <c r="Z66" s="477"/>
      <c r="AA66" s="484"/>
      <c r="AB66" s="484"/>
      <c r="AC66" s="484"/>
      <c r="AD66" s="484"/>
      <c r="AE66" s="484"/>
      <c r="AF66" s="484"/>
      <c r="AG66" s="477"/>
      <c r="AH66" s="490"/>
      <c r="AI66" s="477"/>
      <c r="AJ66" s="420"/>
    </row>
    <row r="67" spans="1:36" ht="17.25" hidden="1" customHeight="1">
      <c r="A67" s="473"/>
      <c r="B67" s="218"/>
      <c r="D67" s="414"/>
      <c r="E67" s="467"/>
      <c r="F67" s="467"/>
      <c r="G67" s="467"/>
      <c r="H67" s="467"/>
      <c r="I67" s="467"/>
      <c r="J67" s="467"/>
      <c r="M67" s="419"/>
      <c r="N67" s="476"/>
      <c r="O67" s="476"/>
      <c r="P67" s="476"/>
      <c r="Q67" s="476"/>
      <c r="R67" s="476"/>
      <c r="S67" s="476"/>
      <c r="T67" s="476"/>
      <c r="U67" s="476"/>
      <c r="V67" s="476"/>
      <c r="W67" s="476"/>
      <c r="X67" s="476"/>
      <c r="Y67" s="477"/>
      <c r="Z67" s="477"/>
      <c r="AA67" s="484"/>
      <c r="AB67" s="484"/>
      <c r="AC67" s="484"/>
      <c r="AD67" s="484"/>
      <c r="AE67" s="484"/>
      <c r="AF67" s="484"/>
      <c r="AG67" s="477"/>
      <c r="AH67" s="490"/>
      <c r="AI67" s="477"/>
      <c r="AJ67" s="420"/>
    </row>
    <row r="68" spans="1:36" ht="15.75" hidden="1" customHeight="1">
      <c r="B68" s="414"/>
      <c r="D68" s="414"/>
      <c r="E68" s="414"/>
      <c r="F68" s="414"/>
      <c r="G68" s="414"/>
      <c r="H68" s="414"/>
      <c r="I68" s="414"/>
      <c r="J68" s="414"/>
      <c r="M68" s="419"/>
      <c r="N68" s="476"/>
      <c r="O68" s="476"/>
      <c r="P68" s="476"/>
      <c r="Q68" s="476"/>
      <c r="R68" s="476"/>
      <c r="S68" s="476"/>
      <c r="T68" s="476"/>
      <c r="U68" s="476"/>
      <c r="V68" s="476"/>
      <c r="W68" s="476"/>
      <c r="X68" s="476"/>
      <c r="Y68" s="477"/>
      <c r="Z68" s="477"/>
      <c r="AA68" s="477"/>
      <c r="AB68" s="477"/>
      <c r="AC68" s="477"/>
      <c r="AD68" s="477"/>
      <c r="AE68" s="477"/>
      <c r="AF68" s="477"/>
      <c r="AG68" s="477"/>
      <c r="AH68" s="490"/>
      <c r="AI68" s="477"/>
      <c r="AJ68" s="420"/>
    </row>
    <row r="69" spans="1:36" ht="36.75" customHeight="1">
      <c r="D69" s="414"/>
      <c r="E69" s="414"/>
      <c r="F69" s="414"/>
      <c r="G69" s="414"/>
      <c r="H69" s="414"/>
      <c r="I69" s="414"/>
      <c r="J69" s="414"/>
      <c r="M69" s="419"/>
      <c r="N69" s="476"/>
      <c r="O69" s="476"/>
      <c r="P69" s="476"/>
      <c r="Q69" s="476"/>
      <c r="R69" s="476"/>
      <c r="S69" s="476"/>
      <c r="T69" s="476"/>
      <c r="U69" s="476"/>
      <c r="V69" s="476"/>
      <c r="W69" s="476"/>
      <c r="X69" s="476"/>
      <c r="Y69" s="477"/>
      <c r="Z69" s="477"/>
      <c r="AA69" s="477"/>
      <c r="AB69" s="477"/>
      <c r="AC69" s="477"/>
      <c r="AD69" s="477"/>
      <c r="AE69" s="477"/>
      <c r="AF69" s="478"/>
      <c r="AG69" s="477"/>
      <c r="AH69" s="491">
        <f>IF(W40&gt;20,"wycena indiwidualna",IF(U48="ano",IF(AF71&lt;(_xlfn.MINIFS(AA58:AF58,AA58:AF58,"&gt;"&amp;0)),IF(AF71=0,_xlfn.MINIFS(AA58:AF58,AA58:AF58,"&gt;"&amp;0),AF71),_xlfn.MINIFS(AA58:AF58,AA58:AF58,"&gt;"&amp;0)),"zbyt duże wymiary"))</f>
        <v>0</v>
      </c>
      <c r="AI69" s="492"/>
      <c r="AJ69" s="420"/>
    </row>
    <row r="70" spans="1:36" ht="15" customHeight="1" thickBot="1">
      <c r="D70" s="414"/>
      <c r="E70" s="466"/>
      <c r="F70" s="466"/>
      <c r="G70" s="466"/>
      <c r="H70" s="414"/>
      <c r="I70" s="414"/>
      <c r="J70" s="414"/>
      <c r="M70" s="419"/>
      <c r="N70" s="476"/>
      <c r="O70" s="476"/>
      <c r="P70" s="476"/>
      <c r="Q70" s="476"/>
      <c r="R70" s="476"/>
      <c r="S70" s="476"/>
      <c r="T70" s="476"/>
      <c r="U70" s="476"/>
      <c r="V70" s="476"/>
      <c r="W70" s="476"/>
      <c r="X70" s="476"/>
      <c r="Y70" s="477"/>
      <c r="Z70" s="477" t="str">
        <f>IF(AA70="NE","Nelze přihodit A do C","A lze přihodit do C")</f>
        <v>Nelze přihodit A do C</v>
      </c>
      <c r="AA70" s="451" t="str">
        <f>IF(AND(O42="balík A",AC55&gt;=AA54),"ANO","NE")</f>
        <v>NE</v>
      </c>
      <c r="AB70" s="477"/>
      <c r="AC70" s="477"/>
      <c r="AD70" s="477"/>
      <c r="AE70" s="477"/>
      <c r="AF70" s="477"/>
      <c r="AG70" s="477"/>
      <c r="AH70" s="490"/>
      <c r="AI70" s="477"/>
      <c r="AJ70" s="420"/>
    </row>
    <row r="71" spans="1:36" ht="15" customHeight="1">
      <c r="D71" s="414"/>
      <c r="E71" s="467"/>
      <c r="F71" s="467"/>
      <c r="G71" s="467"/>
      <c r="H71" s="467"/>
      <c r="I71" s="467"/>
      <c r="J71" s="467"/>
      <c r="M71" s="419"/>
      <c r="N71" s="476"/>
      <c r="O71" s="476"/>
      <c r="P71" s="476"/>
      <c r="Q71" s="476"/>
      <c r="R71" s="476"/>
      <c r="S71" s="476"/>
      <c r="T71" s="476"/>
      <c r="U71" s="476"/>
      <c r="V71" s="476"/>
      <c r="W71" s="476"/>
      <c r="X71" s="476"/>
      <c r="Y71" s="477"/>
      <c r="Z71" s="477"/>
      <c r="AA71" s="452">
        <f>AD71*AA38</f>
        <v>0</v>
      </c>
      <c r="AB71" s="453"/>
      <c r="AC71" s="453" t="s">
        <v>4593</v>
      </c>
      <c r="AD71" s="454">
        <f>IF((IF(SUMIFS(W42:W47,V42:V47,"paleta")&gt;0,"paleta",0))="paleta",0,IF(AA70="NE",AA49,AA56))</f>
        <v>0</v>
      </c>
      <c r="AE71" s="455" t="s">
        <v>4585</v>
      </c>
      <c r="AF71" s="902">
        <f>AA71+AA72</f>
        <v>0</v>
      </c>
      <c r="AG71" s="477"/>
      <c r="AH71" s="490"/>
      <c r="AI71" s="477"/>
      <c r="AJ71" s="420"/>
    </row>
    <row r="72" spans="1:36" ht="15.75" customHeight="1" thickBot="1">
      <c r="E72" s="414"/>
      <c r="F72" s="414"/>
      <c r="G72" s="414"/>
      <c r="H72" s="467"/>
      <c r="I72" s="467"/>
      <c r="J72" s="467"/>
      <c r="M72" s="419"/>
      <c r="N72" s="476"/>
      <c r="O72" s="476"/>
      <c r="P72" s="476"/>
      <c r="Q72" s="476"/>
      <c r="R72" s="476"/>
      <c r="S72" s="476"/>
      <c r="T72" s="476"/>
      <c r="U72" s="476"/>
      <c r="V72" s="476"/>
      <c r="W72" s="476"/>
      <c r="X72" s="476"/>
      <c r="Y72" s="477"/>
      <c r="Z72" s="477"/>
      <c r="AA72" s="456">
        <f>AD72*AC38</f>
        <v>0</v>
      </c>
      <c r="AB72" s="457"/>
      <c r="AC72" s="457" t="s">
        <v>4594</v>
      </c>
      <c r="AD72" s="457">
        <f>IF((IF(SUMIFS(W42:W47,V42:V47,"paleta")&gt;0,"paleta",0))="paleta",0,IF(AA70="NE",AC49,AC56))</f>
        <v>0</v>
      </c>
      <c r="AE72" s="458" t="s">
        <v>4585</v>
      </c>
      <c r="AF72" s="903"/>
      <c r="AG72" s="477"/>
      <c r="AH72" s="490"/>
      <c r="AI72" s="477"/>
      <c r="AJ72" s="420"/>
    </row>
    <row r="73" spans="1:36" ht="16.5" customHeight="1" thickBot="1">
      <c r="D73" s="414"/>
      <c r="E73" s="414"/>
      <c r="F73" s="414"/>
      <c r="G73" s="414"/>
      <c r="H73" s="414"/>
      <c r="I73" s="414"/>
      <c r="J73" s="414"/>
      <c r="M73" s="459"/>
      <c r="N73" s="460"/>
      <c r="O73" s="460"/>
      <c r="P73" s="460"/>
      <c r="Q73" s="460"/>
      <c r="R73" s="460"/>
      <c r="S73" s="460"/>
      <c r="T73" s="460"/>
      <c r="U73" s="460"/>
      <c r="V73" s="460"/>
      <c r="W73" s="460"/>
      <c r="X73" s="460"/>
      <c r="Y73" s="461"/>
      <c r="Z73" s="461"/>
      <c r="AA73" s="461"/>
      <c r="AB73" s="461"/>
      <c r="AC73" s="461"/>
      <c r="AD73" s="461"/>
      <c r="AE73" s="461"/>
      <c r="AF73" s="461"/>
      <c r="AG73" s="461"/>
      <c r="AH73" s="461"/>
      <c r="AI73" s="461"/>
      <c r="AJ73" s="462"/>
    </row>
    <row r="74" spans="1:36" ht="19.5" customHeight="1">
      <c r="D74" s="414"/>
      <c r="E74" s="469"/>
      <c r="F74" s="469"/>
      <c r="G74" s="469"/>
      <c r="H74" s="469"/>
      <c r="I74" s="469"/>
      <c r="J74" s="469"/>
      <c r="U74" s="1"/>
      <c r="V74" s="1"/>
      <c r="W74" s="1"/>
      <c r="X74" s="1"/>
    </row>
    <row r="75" spans="1:36" ht="15.75" customHeight="1">
      <c r="D75" s="414"/>
      <c r="E75" s="414"/>
      <c r="F75" s="414"/>
      <c r="G75" s="414"/>
      <c r="H75" s="414"/>
      <c r="I75" s="414"/>
      <c r="J75" s="414"/>
      <c r="U75" s="1"/>
      <c r="V75" s="1"/>
      <c r="W75" s="1"/>
      <c r="X75" s="1"/>
      <c r="AD75" s="470"/>
    </row>
    <row r="76" spans="1:36" ht="15" outlineLevel="1">
      <c r="E76" s="414"/>
      <c r="F76" s="414"/>
      <c r="G76" s="414"/>
      <c r="H76" s="414"/>
      <c r="I76" s="414"/>
      <c r="J76" s="414"/>
      <c r="Y76" s="19"/>
    </row>
    <row r="77" spans="1:36" ht="23.25" outlineLevel="4">
      <c r="E77" s="414"/>
      <c r="F77" s="414"/>
      <c r="G77" s="414"/>
      <c r="H77" s="414"/>
      <c r="I77" s="414"/>
      <c r="J77" s="414"/>
      <c r="AA77" s="498"/>
      <c r="AB77" s="498"/>
      <c r="AC77" s="498"/>
      <c r="AD77" s="498"/>
      <c r="AE77" s="498"/>
      <c r="AF77" s="498"/>
      <c r="AG77" s="498"/>
    </row>
    <row r="78" spans="1:36" ht="15" outlineLevel="4">
      <c r="E78" s="414"/>
      <c r="F78" s="414"/>
      <c r="G78" s="414"/>
      <c r="H78" s="414"/>
      <c r="I78" s="414"/>
      <c r="J78" s="414"/>
      <c r="AA78" s="293"/>
      <c r="AB78" s="497"/>
      <c r="AC78" s="497"/>
      <c r="AD78" s="497"/>
      <c r="AE78" s="497"/>
      <c r="AF78" s="232"/>
      <c r="AG78" s="232"/>
    </row>
    <row r="79" spans="1:36" ht="15" outlineLevel="4">
      <c r="E79" s="414"/>
      <c r="F79" s="414"/>
      <c r="G79" s="414"/>
      <c r="H79" s="414"/>
      <c r="I79" s="414"/>
      <c r="J79" s="414"/>
      <c r="AA79"/>
      <c r="AB79" s="497"/>
      <c r="AC79" s="497"/>
      <c r="AD79" s="497"/>
      <c r="AE79" s="497"/>
      <c r="AF79" s="232"/>
      <c r="AG79" s="232"/>
    </row>
    <row r="80" spans="1:36" ht="15" outlineLevel="4">
      <c r="E80" s="414"/>
      <c r="F80" s="414"/>
      <c r="G80" s="414"/>
      <c r="H80" s="414"/>
      <c r="I80" s="414"/>
      <c r="J80" s="414"/>
      <c r="AA80"/>
      <c r="AB80"/>
      <c r="AC80"/>
      <c r="AD80"/>
      <c r="AE80"/>
      <c r="AF80"/>
      <c r="AG80" s="232"/>
    </row>
    <row r="81" spans="1:32" ht="15" outlineLevel="4">
      <c r="E81" s="414"/>
      <c r="F81" s="414"/>
      <c r="G81" s="414"/>
      <c r="H81" s="414"/>
      <c r="I81" s="414"/>
      <c r="J81" s="414"/>
    </row>
    <row r="82" spans="1:32" ht="15" outlineLevel="4">
      <c r="E82" s="414"/>
      <c r="F82" s="414"/>
      <c r="G82" s="414"/>
      <c r="H82" s="414"/>
      <c r="I82" s="414"/>
      <c r="J82" s="414"/>
    </row>
    <row r="83" spans="1:32" ht="15" outlineLevel="4">
      <c r="E83" s="414"/>
      <c r="F83" s="414"/>
      <c r="G83" s="414"/>
      <c r="H83" s="414"/>
      <c r="I83" s="414"/>
      <c r="J83" s="414"/>
    </row>
    <row r="84" spans="1:32" ht="15.75" outlineLevel="4">
      <c r="Z84" s="324"/>
    </row>
    <row r="85" spans="1:32" ht="15.75" outlineLevel="4">
      <c r="Y85" s="324"/>
      <c r="AB85" s="496"/>
      <c r="AC85" s="496"/>
      <c r="AD85" s="496"/>
      <c r="AE85" s="496"/>
      <c r="AF85" s="496"/>
    </row>
    <row r="86" spans="1:32" ht="15"/>
    <row r="87" spans="1:32" ht="21">
      <c r="E87" s="463"/>
      <c r="F87" s="463"/>
      <c r="G87" s="463"/>
      <c r="H87" s="464"/>
      <c r="I87" s="464"/>
      <c r="J87" s="464"/>
    </row>
    <row r="88" spans="1:32" ht="26.25" customHeight="1">
      <c r="B88" s="303"/>
      <c r="E88" s="414"/>
      <c r="F88" s="414"/>
      <c r="G88" s="414"/>
      <c r="H88" s="414"/>
      <c r="I88" s="414"/>
      <c r="J88" s="414"/>
      <c r="Z88" s="324"/>
    </row>
    <row r="89" spans="1:32" ht="15">
      <c r="A89" s="473"/>
      <c r="B89" s="218"/>
      <c r="D89" s="414"/>
      <c r="E89" s="466"/>
      <c r="F89" s="466"/>
      <c r="G89" s="466"/>
      <c r="H89" s="466"/>
      <c r="I89" s="466"/>
      <c r="J89" s="466"/>
    </row>
    <row r="90" spans="1:32" ht="18" customHeight="1">
      <c r="A90" s="473"/>
      <c r="B90" s="218"/>
      <c r="D90" s="414"/>
      <c r="E90" s="467"/>
      <c r="F90" s="467"/>
      <c r="G90" s="467"/>
      <c r="H90" s="467"/>
      <c r="I90" s="467"/>
      <c r="J90" s="467"/>
    </row>
    <row r="91" spans="1:32" ht="15">
      <c r="B91" s="414"/>
      <c r="D91" s="414"/>
      <c r="E91" s="414"/>
      <c r="F91" s="414"/>
      <c r="G91" s="414"/>
      <c r="H91" s="414"/>
      <c r="I91" s="414"/>
      <c r="J91" s="414"/>
    </row>
    <row r="92" spans="1:32" ht="15">
      <c r="D92" s="414"/>
      <c r="E92" s="414"/>
      <c r="F92" s="414"/>
      <c r="G92" s="414"/>
      <c r="H92" s="414"/>
      <c r="I92" s="414"/>
      <c r="J92" s="414"/>
    </row>
    <row r="93" spans="1:32" ht="16.5" customHeight="1">
      <c r="D93" s="414"/>
      <c r="E93" s="466"/>
      <c r="F93" s="466"/>
      <c r="G93" s="466"/>
      <c r="H93" s="414"/>
      <c r="I93" s="414"/>
      <c r="J93" s="414"/>
    </row>
    <row r="94" spans="1:32" ht="16.5" customHeight="1">
      <c r="D94" s="414"/>
      <c r="E94" s="467"/>
      <c r="F94" s="467"/>
      <c r="G94" s="467"/>
      <c r="H94" s="467"/>
      <c r="I94" s="467"/>
      <c r="J94" s="467"/>
    </row>
    <row r="95" spans="1:32" ht="15">
      <c r="E95" s="414"/>
      <c r="F95" s="414"/>
      <c r="G95" s="414"/>
      <c r="H95" s="467"/>
      <c r="I95" s="467"/>
      <c r="J95" s="467"/>
    </row>
    <row r="96" spans="1:32" ht="15">
      <c r="D96" s="414"/>
      <c r="E96" s="414"/>
      <c r="F96" s="414"/>
      <c r="G96" s="414"/>
      <c r="H96" s="414"/>
      <c r="I96" s="414"/>
      <c r="J96" s="414"/>
    </row>
    <row r="97" spans="1:10" ht="18.75">
      <c r="D97" s="414"/>
      <c r="E97" s="469"/>
      <c r="F97" s="469"/>
      <c r="G97" s="469"/>
      <c r="H97" s="469"/>
      <c r="I97" s="469"/>
      <c r="J97" s="469"/>
    </row>
    <row r="98" spans="1:10" ht="15">
      <c r="D98" s="414"/>
      <c r="E98" s="414"/>
      <c r="F98" s="414"/>
      <c r="G98" s="414"/>
      <c r="H98" s="414"/>
      <c r="I98" s="414"/>
      <c r="J98" s="414"/>
    </row>
    <row r="99" spans="1:10" ht="15">
      <c r="E99" s="414"/>
      <c r="F99" s="414"/>
      <c r="G99" s="414"/>
      <c r="H99" s="414"/>
      <c r="I99" s="414"/>
      <c r="J99" s="414"/>
    </row>
    <row r="100" spans="1:10" ht="15">
      <c r="E100" s="414"/>
      <c r="F100" s="414"/>
      <c r="G100" s="414"/>
      <c r="H100" s="414"/>
      <c r="I100" s="414"/>
      <c r="J100" s="414"/>
    </row>
    <row r="101" spans="1:10" ht="15">
      <c r="E101" s="414"/>
      <c r="F101" s="414"/>
      <c r="G101" s="414"/>
      <c r="H101" s="414"/>
      <c r="I101" s="414"/>
      <c r="J101" s="414"/>
    </row>
    <row r="102" spans="1:10" ht="15">
      <c r="E102" s="414"/>
      <c r="F102" s="414"/>
      <c r="G102" s="414"/>
      <c r="H102" s="414"/>
      <c r="I102" s="414"/>
      <c r="J102" s="414"/>
    </row>
    <row r="103" spans="1:10" ht="15">
      <c r="E103" s="414"/>
      <c r="F103" s="414"/>
      <c r="G103" s="414"/>
      <c r="H103" s="414"/>
      <c r="I103" s="414"/>
      <c r="J103" s="414"/>
    </row>
    <row r="104" spans="1:10" ht="15">
      <c r="E104" s="414"/>
      <c r="F104" s="414"/>
      <c r="G104" s="414"/>
      <c r="H104" s="414"/>
      <c r="I104" s="414"/>
      <c r="J104" s="414"/>
    </row>
    <row r="105" spans="1:10" ht="14.85" customHeight="1">
      <c r="E105" s="414"/>
      <c r="F105" s="414"/>
      <c r="G105" s="414"/>
      <c r="H105" s="414"/>
      <c r="I105" s="414"/>
      <c r="J105" s="414"/>
    </row>
    <row r="106" spans="1:10" ht="14.85" customHeight="1">
      <c r="E106" s="414"/>
      <c r="F106" s="414"/>
      <c r="G106" s="414"/>
      <c r="H106" s="414"/>
      <c r="I106" s="414"/>
      <c r="J106" s="414"/>
    </row>
    <row r="107" spans="1:10" ht="14.85" customHeight="1"/>
    <row r="108" spans="1:10" ht="14.85" customHeight="1"/>
    <row r="109" spans="1:10" ht="14.85" customHeight="1"/>
    <row r="110" spans="1:10" ht="27" customHeight="1">
      <c r="E110" s="463"/>
      <c r="F110" s="463"/>
      <c r="G110" s="463"/>
      <c r="H110" s="464"/>
      <c r="I110" s="464"/>
      <c r="J110" s="464"/>
    </row>
    <row r="111" spans="1:10" ht="18" customHeight="1">
      <c r="B111" s="303"/>
      <c r="E111" s="414"/>
      <c r="F111" s="414"/>
      <c r="G111" s="414"/>
      <c r="H111" s="414"/>
      <c r="I111" s="414"/>
      <c r="J111" s="414"/>
    </row>
    <row r="112" spans="1:10" ht="14.85" customHeight="1">
      <c r="A112" s="473"/>
      <c r="B112" s="218"/>
      <c r="D112" s="414"/>
      <c r="E112" s="466"/>
      <c r="F112" s="466"/>
      <c r="G112" s="466"/>
      <c r="H112" s="466"/>
      <c r="I112" s="466"/>
      <c r="J112" s="466"/>
    </row>
    <row r="113" spans="1:10" ht="14.85" customHeight="1">
      <c r="A113" s="473"/>
      <c r="B113" s="218"/>
      <c r="D113" s="414"/>
      <c r="E113" s="467"/>
      <c r="F113" s="467"/>
      <c r="G113" s="467"/>
      <c r="H113" s="467"/>
      <c r="I113" s="467"/>
      <c r="J113" s="467"/>
    </row>
    <row r="114" spans="1:10" ht="14.85" customHeight="1">
      <c r="B114" s="414"/>
      <c r="D114" s="414"/>
      <c r="E114" s="414"/>
      <c r="F114" s="414"/>
      <c r="G114" s="414"/>
      <c r="H114" s="414"/>
      <c r="I114" s="414"/>
      <c r="J114" s="414"/>
    </row>
    <row r="115" spans="1:10" ht="14.85" customHeight="1">
      <c r="D115" s="414"/>
      <c r="E115" s="414"/>
      <c r="F115" s="414"/>
      <c r="G115" s="414"/>
      <c r="H115" s="414"/>
      <c r="I115" s="414"/>
      <c r="J115" s="414"/>
    </row>
    <row r="116" spans="1:10" ht="14.85" customHeight="1">
      <c r="D116" s="414"/>
      <c r="E116" s="466"/>
      <c r="F116" s="466"/>
      <c r="G116" s="466"/>
      <c r="H116" s="414"/>
      <c r="I116" s="414"/>
      <c r="J116" s="414"/>
    </row>
    <row r="117" spans="1:10" ht="14.85" customHeight="1">
      <c r="D117" s="414"/>
      <c r="E117" s="467"/>
      <c r="F117" s="467"/>
      <c r="G117" s="467"/>
      <c r="H117" s="467"/>
      <c r="I117" s="467"/>
      <c r="J117" s="467"/>
    </row>
    <row r="118" spans="1:10" ht="14.85" customHeight="1">
      <c r="E118" s="414"/>
      <c r="F118" s="414"/>
      <c r="G118" s="414"/>
      <c r="H118" s="467"/>
      <c r="I118" s="467"/>
      <c r="J118" s="467"/>
    </row>
    <row r="119" spans="1:10" ht="14.85" customHeight="1">
      <c r="D119" s="414"/>
      <c r="E119" s="414"/>
      <c r="F119" s="414"/>
      <c r="G119" s="414"/>
      <c r="H119" s="414"/>
      <c r="I119" s="414"/>
      <c r="J119" s="414"/>
    </row>
    <row r="120" spans="1:10" ht="14.85" customHeight="1">
      <c r="D120" s="414"/>
      <c r="E120" s="469"/>
      <c r="F120" s="469"/>
      <c r="G120" s="469"/>
      <c r="H120" s="469"/>
      <c r="I120" s="469"/>
      <c r="J120" s="469"/>
    </row>
    <row r="121" spans="1:10" ht="14.85" customHeight="1">
      <c r="D121" s="414"/>
      <c r="E121" s="414"/>
      <c r="F121" s="414"/>
      <c r="G121" s="414"/>
      <c r="H121" s="414"/>
      <c r="I121" s="414"/>
      <c r="J121" s="414"/>
    </row>
    <row r="122" spans="1:10" ht="14.85" customHeight="1">
      <c r="E122" s="414"/>
      <c r="F122" s="414"/>
      <c r="G122" s="414"/>
      <c r="H122" s="414"/>
      <c r="I122" s="414"/>
      <c r="J122" s="414"/>
    </row>
    <row r="123" spans="1:10" ht="14.85" customHeight="1">
      <c r="E123" s="414"/>
      <c r="F123" s="414"/>
      <c r="G123" s="414"/>
      <c r="H123" s="414"/>
      <c r="I123" s="414"/>
      <c r="J123" s="414"/>
    </row>
    <row r="124" spans="1:10" ht="14.85" customHeight="1">
      <c r="E124" s="414"/>
      <c r="F124" s="414"/>
      <c r="G124" s="414"/>
      <c r="H124" s="414"/>
      <c r="I124" s="414"/>
      <c r="J124" s="414"/>
    </row>
    <row r="125" spans="1:10" ht="14.85" customHeight="1">
      <c r="E125" s="414"/>
      <c r="F125" s="414"/>
      <c r="G125" s="414"/>
      <c r="H125" s="414"/>
      <c r="I125" s="414"/>
      <c r="J125" s="414"/>
    </row>
    <row r="126" spans="1:10" ht="14.85" customHeight="1">
      <c r="E126" s="414"/>
      <c r="F126" s="414"/>
      <c r="G126" s="414"/>
      <c r="H126" s="414"/>
      <c r="I126" s="414"/>
      <c r="J126" s="414"/>
    </row>
    <row r="127" spans="1:10" ht="14.85" customHeight="1">
      <c r="E127" s="414"/>
      <c r="F127" s="414"/>
      <c r="G127" s="414"/>
      <c r="H127" s="414"/>
      <c r="I127" s="414"/>
      <c r="J127" s="414"/>
    </row>
    <row r="128" spans="1:10" ht="14.85" customHeight="1">
      <c r="E128" s="414"/>
      <c r="F128" s="414"/>
      <c r="G128" s="414"/>
      <c r="H128" s="414"/>
      <c r="I128" s="414"/>
      <c r="J128" s="414"/>
    </row>
    <row r="129" spans="1:10" ht="14.85" customHeight="1">
      <c r="E129" s="414"/>
      <c r="F129" s="414"/>
      <c r="G129" s="414"/>
      <c r="H129" s="414"/>
      <c r="I129" s="414"/>
      <c r="J129" s="414"/>
    </row>
    <row r="130" spans="1:10" ht="14.85" customHeight="1"/>
    <row r="131" spans="1:10" ht="14.85" customHeight="1"/>
    <row r="132" spans="1:10" ht="14.85" customHeight="1"/>
    <row r="133" spans="1:10" ht="18.75" customHeight="1">
      <c r="E133" s="463"/>
      <c r="F133" s="463"/>
      <c r="G133" s="463"/>
      <c r="H133" s="464"/>
      <c r="I133" s="464"/>
      <c r="J133" s="464"/>
    </row>
    <row r="134" spans="1:10" ht="19.5" customHeight="1">
      <c r="B134" s="303"/>
      <c r="E134" s="414"/>
      <c r="F134" s="414"/>
      <c r="G134" s="414"/>
      <c r="H134" s="414"/>
      <c r="I134" s="414"/>
      <c r="J134" s="414"/>
    </row>
    <row r="135" spans="1:10" ht="14.85" customHeight="1">
      <c r="A135" s="473"/>
      <c r="B135" s="218"/>
      <c r="D135" s="414"/>
      <c r="E135" s="466"/>
      <c r="F135" s="466"/>
      <c r="G135" s="466"/>
      <c r="H135" s="466"/>
      <c r="I135" s="466"/>
      <c r="J135" s="466"/>
    </row>
    <row r="136" spans="1:10" ht="14.85" customHeight="1">
      <c r="A136" s="473"/>
      <c r="B136" s="218"/>
      <c r="D136" s="414"/>
      <c r="E136" s="467"/>
      <c r="F136" s="467"/>
      <c r="G136" s="467"/>
      <c r="H136" s="467"/>
      <c r="I136" s="467"/>
      <c r="J136" s="467"/>
    </row>
    <row r="137" spans="1:10" ht="14.85" customHeight="1">
      <c r="B137" s="414"/>
      <c r="D137" s="414"/>
      <c r="E137" s="414"/>
      <c r="F137" s="414"/>
      <c r="G137" s="414"/>
      <c r="H137" s="414"/>
      <c r="I137" s="414"/>
      <c r="J137" s="414"/>
    </row>
    <row r="138" spans="1:10" ht="14.85" customHeight="1">
      <c r="D138" s="414"/>
      <c r="E138" s="414"/>
      <c r="F138" s="414"/>
      <c r="G138" s="414"/>
      <c r="H138" s="414"/>
      <c r="I138" s="414"/>
      <c r="J138" s="414"/>
    </row>
    <row r="139" spans="1:10" ht="14.85" customHeight="1">
      <c r="D139" s="414"/>
      <c r="E139" s="466"/>
      <c r="F139" s="466"/>
      <c r="G139" s="466"/>
      <c r="H139" s="414"/>
      <c r="I139" s="414"/>
      <c r="J139" s="414"/>
    </row>
    <row r="140" spans="1:10" ht="14.85" customHeight="1">
      <c r="D140" s="414"/>
      <c r="E140" s="467"/>
      <c r="F140" s="467"/>
      <c r="G140" s="467"/>
      <c r="H140" s="467"/>
      <c r="I140" s="467"/>
      <c r="J140" s="467"/>
    </row>
    <row r="141" spans="1:10" ht="14.85" customHeight="1">
      <c r="E141" s="414"/>
      <c r="F141" s="414"/>
      <c r="G141" s="414"/>
      <c r="H141" s="467"/>
      <c r="I141" s="467"/>
      <c r="J141" s="467"/>
    </row>
    <row r="142" spans="1:10" ht="14.85" customHeight="1">
      <c r="D142" s="414"/>
      <c r="E142" s="414"/>
      <c r="F142" s="414"/>
      <c r="G142" s="414"/>
      <c r="H142" s="414"/>
      <c r="I142" s="414"/>
      <c r="J142" s="414"/>
    </row>
    <row r="143" spans="1:10" ht="14.85" customHeight="1">
      <c r="D143" s="414"/>
      <c r="E143" s="469"/>
      <c r="F143" s="469"/>
      <c r="G143" s="469"/>
      <c r="H143" s="469"/>
      <c r="I143" s="469"/>
      <c r="J143" s="469"/>
    </row>
    <row r="144" spans="1:10" ht="14.85" customHeight="1">
      <c r="D144" s="414"/>
      <c r="E144" s="414"/>
      <c r="F144" s="414"/>
      <c r="G144" s="414"/>
      <c r="H144" s="414"/>
      <c r="I144" s="414"/>
      <c r="J144" s="414"/>
    </row>
    <row r="145" spans="1:10" ht="14.85" customHeight="1">
      <c r="E145" s="414"/>
      <c r="F145" s="414"/>
      <c r="G145" s="414"/>
      <c r="H145" s="414"/>
      <c r="I145" s="414"/>
      <c r="J145" s="414"/>
    </row>
    <row r="146" spans="1:10" ht="14.85" customHeight="1">
      <c r="E146" s="414"/>
      <c r="F146" s="414"/>
      <c r="G146" s="414"/>
      <c r="H146" s="414"/>
      <c r="I146" s="414"/>
      <c r="J146" s="414"/>
    </row>
    <row r="147" spans="1:10" ht="14.85" customHeight="1">
      <c r="E147" s="414"/>
      <c r="F147" s="414"/>
      <c r="G147" s="414"/>
      <c r="H147" s="414"/>
      <c r="I147" s="414"/>
      <c r="J147" s="414"/>
    </row>
    <row r="148" spans="1:10" ht="14.85" customHeight="1">
      <c r="E148" s="414"/>
      <c r="F148" s="414"/>
      <c r="G148" s="414"/>
      <c r="H148" s="414"/>
      <c r="I148" s="414"/>
      <c r="J148" s="414"/>
    </row>
    <row r="149" spans="1:10" ht="14.85" customHeight="1">
      <c r="E149" s="414"/>
      <c r="F149" s="414"/>
      <c r="G149" s="414"/>
      <c r="H149" s="414"/>
      <c r="I149" s="414"/>
      <c r="J149" s="414"/>
    </row>
    <row r="150" spans="1:10" ht="14.85" customHeight="1">
      <c r="E150" s="414"/>
      <c r="F150" s="414"/>
      <c r="G150" s="414"/>
      <c r="H150" s="414"/>
      <c r="I150" s="414"/>
      <c r="J150" s="414"/>
    </row>
    <row r="151" spans="1:10" ht="14.85" customHeight="1">
      <c r="E151" s="414"/>
      <c r="F151" s="414"/>
      <c r="G151" s="414"/>
      <c r="H151" s="414"/>
      <c r="I151" s="414"/>
      <c r="J151" s="414"/>
    </row>
    <row r="152" spans="1:10" ht="14.85" customHeight="1">
      <c r="E152" s="414"/>
      <c r="F152" s="414"/>
      <c r="G152" s="414"/>
      <c r="H152" s="414"/>
      <c r="I152" s="414"/>
      <c r="J152" s="414"/>
    </row>
    <row r="153" spans="1:10" ht="14.85" customHeight="1"/>
    <row r="154" spans="1:10" ht="14.85" customHeight="1"/>
    <row r="155" spans="1:10" ht="14.85" customHeight="1"/>
    <row r="156" spans="1:10" ht="23.25" customHeight="1">
      <c r="E156" s="463"/>
      <c r="F156" s="463"/>
      <c r="G156" s="463"/>
      <c r="H156" s="464"/>
      <c r="I156" s="464"/>
      <c r="J156" s="464"/>
    </row>
    <row r="157" spans="1:10" ht="14.85" customHeight="1">
      <c r="B157" s="303"/>
      <c r="E157" s="414"/>
      <c r="F157" s="414"/>
      <c r="G157" s="414"/>
      <c r="H157" s="414"/>
      <c r="I157" s="414"/>
      <c r="J157" s="414"/>
    </row>
    <row r="158" spans="1:10" ht="14.85" customHeight="1">
      <c r="A158" s="473"/>
      <c r="B158" s="218"/>
      <c r="D158" s="414"/>
      <c r="E158" s="466"/>
      <c r="F158" s="466"/>
      <c r="G158" s="466"/>
      <c r="H158" s="466"/>
      <c r="I158" s="466"/>
      <c r="J158" s="466"/>
    </row>
    <row r="159" spans="1:10" ht="14.85" customHeight="1">
      <c r="A159" s="473"/>
      <c r="B159" s="218"/>
      <c r="D159" s="414"/>
      <c r="E159" s="467"/>
      <c r="F159" s="467"/>
      <c r="G159" s="467"/>
      <c r="H159" s="467"/>
      <c r="I159" s="467"/>
      <c r="J159" s="467"/>
    </row>
    <row r="160" spans="1:10" ht="14.85" customHeight="1">
      <c r="B160" s="414"/>
      <c r="D160" s="414"/>
      <c r="E160" s="414"/>
      <c r="F160" s="414"/>
      <c r="G160" s="414"/>
      <c r="H160" s="414"/>
      <c r="I160" s="414"/>
      <c r="J160" s="414"/>
    </row>
    <row r="161" spans="4:10" ht="14.85" customHeight="1">
      <c r="D161" s="414"/>
      <c r="E161" s="414"/>
      <c r="F161" s="414"/>
      <c r="G161" s="414"/>
      <c r="H161" s="414"/>
      <c r="I161" s="414"/>
      <c r="J161" s="414"/>
    </row>
    <row r="162" spans="4:10" ht="14.85" customHeight="1">
      <c r="D162" s="414"/>
      <c r="E162" s="466"/>
      <c r="F162" s="466"/>
      <c r="G162" s="466"/>
      <c r="H162" s="414"/>
      <c r="I162" s="414"/>
      <c r="J162" s="414"/>
    </row>
    <row r="163" spans="4:10" ht="14.85" customHeight="1">
      <c r="D163" s="414"/>
      <c r="E163" s="467"/>
      <c r="F163" s="467"/>
      <c r="G163" s="467"/>
      <c r="H163" s="467"/>
      <c r="I163" s="467"/>
      <c r="J163" s="467"/>
    </row>
    <row r="164" spans="4:10" ht="14.85" customHeight="1">
      <c r="E164" s="414"/>
      <c r="F164" s="414"/>
      <c r="G164" s="414"/>
      <c r="H164" s="467"/>
      <c r="I164" s="467"/>
      <c r="J164" s="467"/>
    </row>
    <row r="165" spans="4:10" ht="14.85" customHeight="1">
      <c r="D165" s="414"/>
      <c r="E165" s="414"/>
      <c r="F165" s="414"/>
      <c r="G165" s="414"/>
      <c r="H165" s="414"/>
      <c r="I165" s="414"/>
      <c r="J165" s="414"/>
    </row>
    <row r="166" spans="4:10" ht="14.85" customHeight="1">
      <c r="D166" s="414"/>
      <c r="E166" s="469"/>
      <c r="F166" s="469"/>
      <c r="G166" s="469"/>
      <c r="H166" s="469"/>
      <c r="I166" s="469"/>
      <c r="J166" s="469"/>
    </row>
    <row r="167" spans="4:10" ht="14.85" customHeight="1">
      <c r="D167" s="414"/>
      <c r="E167" s="414"/>
      <c r="F167" s="414"/>
      <c r="G167" s="414"/>
      <c r="H167" s="414"/>
      <c r="I167" s="414"/>
      <c r="J167" s="414"/>
    </row>
    <row r="168" spans="4:10" ht="14.85" customHeight="1">
      <c r="E168" s="414"/>
      <c r="F168" s="414"/>
      <c r="G168" s="414"/>
      <c r="H168" s="414"/>
      <c r="I168" s="414"/>
      <c r="J168" s="414"/>
    </row>
    <row r="169" spans="4:10" ht="14.85" customHeight="1">
      <c r="E169" s="414"/>
      <c r="F169" s="414"/>
      <c r="G169" s="414"/>
      <c r="H169" s="414"/>
      <c r="I169" s="414"/>
      <c r="J169" s="414"/>
    </row>
    <row r="170" spans="4:10" ht="14.85" customHeight="1">
      <c r="E170" s="414"/>
      <c r="F170" s="414"/>
      <c r="G170" s="414"/>
      <c r="H170" s="414"/>
      <c r="I170" s="414"/>
      <c r="J170" s="414"/>
    </row>
    <row r="171" spans="4:10" ht="14.85" customHeight="1">
      <c r="E171" s="414"/>
      <c r="F171" s="414"/>
      <c r="G171" s="414"/>
      <c r="H171" s="414"/>
      <c r="I171" s="414"/>
      <c r="J171" s="414"/>
    </row>
    <row r="172" spans="4:10" ht="14.85" customHeight="1">
      <c r="E172" s="414"/>
      <c r="F172" s="414"/>
      <c r="G172" s="414"/>
      <c r="H172" s="414"/>
      <c r="I172" s="414"/>
      <c r="J172" s="414"/>
    </row>
    <row r="173" spans="4:10" ht="14.85" customHeight="1">
      <c r="E173" s="414"/>
      <c r="F173" s="414"/>
      <c r="G173" s="414"/>
      <c r="H173" s="414"/>
      <c r="I173" s="414"/>
      <c r="J173" s="414"/>
    </row>
    <row r="174" spans="4:10" ht="14.85" customHeight="1">
      <c r="E174" s="414"/>
      <c r="F174" s="414"/>
      <c r="G174" s="414"/>
      <c r="H174" s="414"/>
      <c r="I174" s="414"/>
      <c r="J174" s="414"/>
    </row>
    <row r="175" spans="4:10" ht="14.85" customHeight="1">
      <c r="E175" s="414"/>
      <c r="F175" s="414"/>
      <c r="G175" s="414"/>
      <c r="H175" s="414"/>
      <c r="I175" s="414"/>
      <c r="J175" s="414"/>
    </row>
    <row r="176" spans="4:10"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32.85" customHeight="1"/>
    <row r="188" ht="14.85" customHeight="1"/>
    <row r="189" ht="14.85" customHeight="1"/>
    <row r="190" ht="14.85" customHeight="1"/>
  </sheetData>
  <sheetProtection selectLockedCells="1"/>
  <mergeCells count="7">
    <mergeCell ref="B14:B15"/>
    <mergeCell ref="AF71:AF72"/>
    <mergeCell ref="AA5:AC5"/>
    <mergeCell ref="AD5:AF5"/>
    <mergeCell ref="C9:C10"/>
    <mergeCell ref="AD11:AF11"/>
    <mergeCell ref="AD33:AF33"/>
  </mergeCells>
  <conditionalFormatting sqref="E143">
    <cfRule type="expression" dxfId="91" priority="66">
      <formula>$E$133=$E$143</formula>
    </cfRule>
  </conditionalFormatting>
  <conditionalFormatting sqref="E166">
    <cfRule type="expression" dxfId="90" priority="46">
      <formula>$E$133=$E$143</formula>
    </cfRule>
  </conditionalFormatting>
  <conditionalFormatting sqref="E141:G141">
    <cfRule type="containsText" dxfId="89" priority="53" operator="containsText" text="balík">
      <formula>NOT(ISERROR(SEARCH("balík",E141)))</formula>
    </cfRule>
  </conditionalFormatting>
  <conditionalFormatting sqref="E164:G164">
    <cfRule type="containsText" dxfId="88" priority="41" operator="containsText" text="balík">
      <formula>NOT(ISERROR(SEARCH("balík",E164)))</formula>
    </cfRule>
  </conditionalFormatting>
  <conditionalFormatting sqref="E83:J83 F84">
    <cfRule type="containsText" dxfId="87" priority="92" operator="containsText" text="výsledn">
      <formula>NOT(ISERROR(SEARCH("výsledn",E83)))</formula>
    </cfRule>
  </conditionalFormatting>
  <conditionalFormatting sqref="E91:J91">
    <cfRule type="containsText" dxfId="86" priority="63" operator="containsText" text="balík">
      <formula>NOT(ISERROR(SEARCH("balík",E91)))</formula>
    </cfRule>
    <cfRule type="containsText" dxfId="85" priority="62" operator="containsText" text="paleta">
      <formula>NOT(ISERROR(SEARCH("paleta",E91)))</formula>
    </cfRule>
  </conditionalFormatting>
  <conditionalFormatting sqref="E129:J129">
    <cfRule type="containsText" dxfId="84" priority="77" operator="containsText" text="výsledn">
      <formula>NOT(ISERROR(SEARCH("výsledn",E129)))</formula>
    </cfRule>
  </conditionalFormatting>
  <conditionalFormatting sqref="E137:J137">
    <cfRule type="containsText" dxfId="83" priority="51" operator="containsText" text="paleta">
      <formula>NOT(ISERROR(SEARCH("paleta",E137)))</formula>
    </cfRule>
    <cfRule type="containsText" dxfId="82" priority="52" operator="containsText" text="balík">
      <formula>NOT(ISERROR(SEARCH("balík",E137)))</formula>
    </cfRule>
  </conditionalFormatting>
  <conditionalFormatting sqref="E152:J152">
    <cfRule type="containsText" dxfId="81" priority="70" operator="containsText" text="výsledn">
      <formula>NOT(ISERROR(SEARCH("výsledn",E152)))</formula>
    </cfRule>
  </conditionalFormatting>
  <conditionalFormatting sqref="E160:J160">
    <cfRule type="containsText" dxfId="80" priority="39" operator="containsText" text="paleta">
      <formula>NOT(ISERROR(SEARCH("paleta",E160)))</formula>
    </cfRule>
    <cfRule type="containsText" dxfId="79" priority="40" operator="containsText" text="balík">
      <formula>NOT(ISERROR(SEARCH("balík",E160)))</formula>
    </cfRule>
  </conditionalFormatting>
  <conditionalFormatting sqref="E175:J175">
    <cfRule type="containsText" dxfId="78" priority="50" operator="containsText" text="výsledn">
      <formula>NOT(ISERROR(SEARCH("výsledn",E175)))</formula>
    </cfRule>
  </conditionalFormatting>
  <conditionalFormatting sqref="F82">
    <cfRule type="expression" dxfId="77" priority="83">
      <formula>F83="výsledná zásilka"</formula>
    </cfRule>
  </conditionalFormatting>
  <conditionalFormatting sqref="F128">
    <cfRule type="expression" dxfId="76" priority="71">
      <formula>F129="výsledná zásilka"</formula>
    </cfRule>
  </conditionalFormatting>
  <conditionalFormatting sqref="F143">
    <cfRule type="expression" dxfId="75" priority="69">
      <formula>$F$133=$F$143</formula>
    </cfRule>
  </conditionalFormatting>
  <conditionalFormatting sqref="F166">
    <cfRule type="expression" dxfId="74" priority="49">
      <formula>$F$133=$F$143</formula>
    </cfRule>
  </conditionalFormatting>
  <conditionalFormatting sqref="F174">
    <cfRule type="expression" dxfId="73" priority="44">
      <formula>F175="výsledná zásilka"</formula>
    </cfRule>
  </conditionalFormatting>
  <conditionalFormatting sqref="G143">
    <cfRule type="expression" dxfId="72" priority="65">
      <formula>$G$133=$G$143</formula>
    </cfRule>
  </conditionalFormatting>
  <conditionalFormatting sqref="G166">
    <cfRule type="expression" dxfId="71" priority="43">
      <formula>$G$133=$G$143</formula>
    </cfRule>
  </conditionalFormatting>
  <conditionalFormatting sqref="H82">
    <cfRule type="expression" dxfId="70" priority="84">
      <formula>H83="výsledná zásilka"</formula>
    </cfRule>
  </conditionalFormatting>
  <conditionalFormatting sqref="H128">
    <cfRule type="expression" dxfId="69" priority="72">
      <formula>H129="výsledná zásilka"</formula>
    </cfRule>
  </conditionalFormatting>
  <conditionalFormatting sqref="H143">
    <cfRule type="expression" dxfId="68" priority="68">
      <formula>$H$143=$H$133</formula>
    </cfRule>
  </conditionalFormatting>
  <conditionalFormatting sqref="H166">
    <cfRule type="expression" dxfId="67" priority="48">
      <formula>$H$143=$H$133</formula>
    </cfRule>
  </conditionalFormatting>
  <conditionalFormatting sqref="H174">
    <cfRule type="expression" dxfId="66" priority="45">
      <formula>H175="výsledná zásilka"</formula>
    </cfRule>
  </conditionalFormatting>
  <conditionalFormatting sqref="I143">
    <cfRule type="expression" dxfId="65" priority="64">
      <formula>$I$133=$I$143</formula>
    </cfRule>
  </conditionalFormatting>
  <conditionalFormatting sqref="I166">
    <cfRule type="expression" dxfId="64" priority="42">
      <formula>$I$133=$I$143</formula>
    </cfRule>
  </conditionalFormatting>
  <conditionalFormatting sqref="J143">
    <cfRule type="expression" dxfId="63" priority="67">
      <formula>$J$74=$J$54</formula>
    </cfRule>
  </conditionalFormatting>
  <conditionalFormatting sqref="J166">
    <cfRule type="expression" dxfId="62" priority="47">
      <formula>$J$74=$J$54</formula>
    </cfRule>
  </conditionalFormatting>
  <conditionalFormatting sqref="N42:R47">
    <cfRule type="cellIs" dxfId="61" priority="1" operator="equal">
      <formula>"ne"</formula>
    </cfRule>
  </conditionalFormatting>
  <conditionalFormatting sqref="U42:U47">
    <cfRule type="containsText" dxfId="60" priority="2" operator="containsText" text="pale">
      <formula>NOT(ISERROR(SEARCH("pale",U42)))</formula>
    </cfRule>
  </conditionalFormatting>
  <conditionalFormatting sqref="W39">
    <cfRule type="cellIs" dxfId="59" priority="9" operator="lessThan">
      <formula>0</formula>
    </cfRule>
    <cfRule type="cellIs" dxfId="58" priority="10" operator="greaterThan">
      <formula>0</formula>
    </cfRule>
  </conditionalFormatting>
  <conditionalFormatting sqref="W42:W47">
    <cfRule type="cellIs" dxfId="57" priority="5" operator="equal">
      <formula>0</formula>
    </cfRule>
  </conditionalFormatting>
  <conditionalFormatting sqref="X39">
    <cfRule type="containsText" dxfId="56" priority="11" operator="containsText" text="pře">
      <formula>NOT(ISERROR(SEARCH("pře",X39)))</formula>
    </cfRule>
  </conditionalFormatting>
  <conditionalFormatting sqref="AA58">
    <cfRule type="expression" dxfId="55" priority="16">
      <formula>$AA$58=$AG$58</formula>
    </cfRule>
  </conditionalFormatting>
  <conditionalFormatting sqref="AA42:AF42 AA43:AA47 AC43:AF47">
    <cfRule type="duplicateValues" dxfId="54" priority="26"/>
  </conditionalFormatting>
  <conditionalFormatting sqref="AA42:AF47">
    <cfRule type="cellIs" dxfId="53" priority="20" operator="equal">
      <formula>0</formula>
    </cfRule>
  </conditionalFormatting>
  <conditionalFormatting sqref="AA43:AF43 AA44:AA47">
    <cfRule type="duplicateValues" dxfId="52" priority="25"/>
  </conditionalFormatting>
  <conditionalFormatting sqref="AA44:AF44 AA45:AA47">
    <cfRule type="duplicateValues" dxfId="51" priority="24"/>
  </conditionalFormatting>
  <conditionalFormatting sqref="AA45:AF45">
    <cfRule type="duplicateValues" dxfId="50" priority="23"/>
  </conditionalFormatting>
  <conditionalFormatting sqref="AA46:AF46">
    <cfRule type="duplicateValues" dxfId="49" priority="22"/>
  </conditionalFormatting>
  <conditionalFormatting sqref="AA47:AF47">
    <cfRule type="duplicateValues" dxfId="48" priority="21"/>
  </conditionalFormatting>
  <conditionalFormatting sqref="AA58:AF58">
    <cfRule type="cellIs" dxfId="47" priority="17" operator="equal">
      <formula>0</formula>
    </cfRule>
  </conditionalFormatting>
  <conditionalFormatting sqref="AC58">
    <cfRule type="expression" dxfId="46" priority="15">
      <formula>$AC$58=$AG$58</formula>
    </cfRule>
  </conditionalFormatting>
  <conditionalFormatting sqref="AD58">
    <cfRule type="expression" dxfId="45" priority="768">
      <formula>$AD$58=$AH$69</formula>
    </cfRule>
    <cfRule type="expression" dxfId="44" priority="769">
      <formula>$AD$58=$AG$58</formula>
    </cfRule>
  </conditionalFormatting>
  <conditionalFormatting sqref="AE58">
    <cfRule type="expression" dxfId="43" priority="770">
      <formula>$AE$58=$AH$69</formula>
    </cfRule>
    <cfRule type="expression" dxfId="42" priority="771">
      <formula>$AE$58=$AG$58</formula>
    </cfRule>
  </conditionalFormatting>
  <conditionalFormatting sqref="AF58">
    <cfRule type="expression" dxfId="41" priority="772">
      <formula>$AF$58=$AH$69</formula>
    </cfRule>
    <cfRule type="expression" dxfId="40" priority="773">
      <formula>$AF$58=$AG$58</formula>
    </cfRule>
  </conditionalFormatting>
  <conditionalFormatting sqref="AF71:AF72">
    <cfRule type="cellIs" dxfId="39" priority="774" operator="equal">
      <formula>0</formula>
    </cfRule>
    <cfRule type="cellIs" dxfId="38" priority="775" operator="equal">
      <formula>$AH$69</formula>
    </cfRule>
  </conditionalFormatting>
  <conditionalFormatting sqref="AH77:AH82">
    <cfRule type="colorScale" priority="36">
      <colorScale>
        <cfvo type="min"/>
        <cfvo type="percentile" val="50"/>
        <cfvo type="max"/>
        <color rgb="FF63BE7B"/>
        <color rgb="FFFFEB84"/>
        <color rgb="FFF8696B"/>
      </colorScale>
    </cfRule>
  </conditionalFormatting>
  <conditionalFormatting sqref="AQ37:AS37">
    <cfRule type="containsText" dxfId="37" priority="31" operator="containsText" text="balík">
      <formula>NOT(ISERROR(SEARCH("balík",AQ37)))</formula>
    </cfRule>
  </conditionalFormatting>
  <conditionalFormatting sqref="AQ33:AV33">
    <cfRule type="containsText" dxfId="36" priority="33" operator="containsText" text="balík">
      <formula>NOT(ISERROR(SEARCH("balík",AQ33)))</formula>
    </cfRule>
    <cfRule type="containsText" dxfId="35" priority="32" operator="containsText" text="paleta">
      <formula>NOT(ISERROR(SEARCH("paleta",AQ33)))</formula>
    </cfRule>
  </conditionalFormatting>
  <conditionalFormatting sqref="AQ50:AV50">
    <cfRule type="containsText" dxfId="34" priority="35" operator="containsText" text="výsledn">
      <formula>NOT(ISERROR(SEARCH("výsledn",AQ50)))</formula>
    </cfRule>
  </conditionalFormatting>
  <conditionalFormatting sqref="BB37:BD37">
    <cfRule type="containsText" dxfId="33" priority="28" operator="containsText" text="balík">
      <formula>NOT(ISERROR(SEARCH("balík",BB37)))</formula>
    </cfRule>
  </conditionalFormatting>
  <conditionalFormatting sqref="BB33:BG33">
    <cfRule type="containsText" dxfId="32" priority="29" operator="containsText" text="paleta">
      <formula>NOT(ISERROR(SEARCH("paleta",BB33)))</formula>
    </cfRule>
    <cfRule type="containsText" dxfId="31" priority="30" operator="containsText" text="balík">
      <formula>NOT(ISERROR(SEARCH("balík",BB33)))</formula>
    </cfRule>
  </conditionalFormatting>
  <conditionalFormatting sqref="BB50:BG50">
    <cfRule type="containsText" dxfId="30" priority="27" operator="containsText" text="výsledn">
      <formula>NOT(ISERROR(SEARCH("výsledn",BB50)))</formula>
    </cfRule>
  </conditionalFormatting>
  <pageMargins left="0.7" right="0.7" top="0.78740157499999996" bottom="0.78740157499999996" header="0.3" footer="0.3"/>
  <pageSetup paperSize="9" scale="70" fitToHeight="6" orientation="landscape"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41AA-8C6F-4AD1-8B7E-6C6A44E2E35C}">
  <sheetPr>
    <tabColor rgb="FF92D050"/>
  </sheetPr>
  <dimension ref="A1:BF116"/>
  <sheetViews>
    <sheetView topLeftCell="Q23" workbookViewId="0">
      <selection activeCell="Z46" sqref="Z46"/>
    </sheetView>
  </sheetViews>
  <sheetFormatPr defaultColWidth="8.5703125" defaultRowHeight="0" customHeight="1" zeroHeight="1" outlineLevelRow="4"/>
  <cols>
    <col min="1" max="8" width="3.28515625" style="1" customWidth="1"/>
    <col min="9" max="12" width="3.28515625" style="19" customWidth="1"/>
    <col min="13" max="14" width="11.7109375" style="19" customWidth="1"/>
    <col min="15" max="16" width="7.5703125" style="19" bestFit="1" customWidth="1"/>
    <col min="17" max="17" width="7.7109375" style="19" bestFit="1" customWidth="1"/>
    <col min="18" max="18" width="7.42578125" style="19" bestFit="1" customWidth="1"/>
    <col min="19" max="19" width="5.140625" style="19" bestFit="1" customWidth="1"/>
    <col min="20" max="20" width="9.5703125" style="19" customWidth="1"/>
    <col min="21" max="21" width="6" style="19" bestFit="1" customWidth="1"/>
    <col min="22" max="22" width="8.5703125" style="19" customWidth="1"/>
    <col min="23" max="23" width="10.7109375" style="19" bestFit="1" customWidth="1"/>
    <col min="24" max="24" width="10.7109375" style="1" bestFit="1" customWidth="1"/>
    <col min="25" max="25" width="19.42578125" style="1" customWidth="1"/>
    <col min="26" max="26" width="21" style="1" bestFit="1" customWidth="1"/>
    <col min="27" max="27" width="16.42578125" style="1" customWidth="1"/>
    <col min="28" max="28" width="22.140625" style="1" bestFit="1" customWidth="1"/>
    <col min="29" max="29" width="12.85546875" style="1" customWidth="1"/>
    <col min="30" max="30" width="16" style="1" customWidth="1"/>
    <col min="31" max="31" width="18.140625" style="1" customWidth="1"/>
    <col min="32" max="32" width="3" style="1" bestFit="1" customWidth="1"/>
    <col min="33" max="33" width="16" style="1" customWidth="1"/>
    <col min="34" max="34" width="36.5703125" style="1" customWidth="1"/>
    <col min="35" max="38" width="8.5703125" style="1"/>
    <col min="39" max="39" width="149.42578125" style="1" customWidth="1"/>
    <col min="40" max="40" width="8.5703125" style="1"/>
    <col min="41" max="41" width="17.140625" style="1" customWidth="1"/>
    <col min="42" max="47" width="20.140625" style="1" customWidth="1"/>
    <col min="48" max="49" width="7.7109375" style="1" customWidth="1"/>
    <col min="50" max="50" width="11.5703125" style="1" customWidth="1"/>
    <col min="51" max="51" width="7.7109375" style="1" customWidth="1"/>
    <col min="52" max="52" width="18.28515625" style="1" customWidth="1"/>
    <col min="53" max="60" width="37.7109375" style="1" customWidth="1"/>
    <col min="61" max="16384" width="8.5703125" style="1"/>
  </cols>
  <sheetData>
    <row r="1" spans="1:32" ht="15.75" customHeight="1">
      <c r="D1" s="414"/>
      <c r="E1" s="414"/>
      <c r="F1" s="414"/>
      <c r="G1" s="414"/>
      <c r="H1" s="414"/>
      <c r="I1" s="414"/>
      <c r="J1" s="414"/>
      <c r="T1" s="1"/>
      <c r="U1" s="1"/>
      <c r="V1" s="1"/>
      <c r="W1" s="1"/>
      <c r="AC1" s="470"/>
    </row>
    <row r="2" spans="1:32" ht="15.75" outlineLevel="1" thickBot="1">
      <c r="E2" s="414"/>
      <c r="F2" s="414"/>
      <c r="G2" s="414"/>
      <c r="H2" s="414"/>
      <c r="I2" s="414"/>
      <c r="J2" s="414"/>
      <c r="M2" s="19">
        <f>IF(Zakaznik!K23="Dostawa na adres",Hlavní!V39,0)</f>
        <v>0</v>
      </c>
      <c r="X2" s="19"/>
    </row>
    <row r="3" spans="1:32" ht="24" outlineLevel="4" thickBot="1">
      <c r="E3" s="414"/>
      <c r="F3" s="414"/>
      <c r="G3" s="414"/>
      <c r="H3" s="414"/>
      <c r="I3" s="414"/>
      <c r="J3" s="414"/>
      <c r="O3" s="904"/>
      <c r="P3" s="904"/>
      <c r="Y3" s="499" t="s">
        <v>3780</v>
      </c>
      <c r="Z3" s="500"/>
      <c r="AA3" s="500"/>
      <c r="AB3" s="500"/>
      <c r="AC3" s="500"/>
      <c r="AD3" s="501"/>
    </row>
    <row r="4" spans="1:32" ht="15" outlineLevel="4">
      <c r="E4" s="414"/>
      <c r="F4" s="414"/>
      <c r="G4" s="414"/>
      <c r="H4" s="414"/>
      <c r="I4" s="414"/>
      <c r="J4" s="414"/>
      <c r="Y4" s="409" t="s">
        <v>3781</v>
      </c>
      <c r="Z4" s="410" t="s">
        <v>3782</v>
      </c>
      <c r="AA4" s="410" t="s">
        <v>4548</v>
      </c>
      <c r="AB4" s="410" t="s">
        <v>4549</v>
      </c>
      <c r="AC4" s="411" t="s">
        <v>4550</v>
      </c>
      <c r="AD4" s="412" t="s">
        <v>4551</v>
      </c>
    </row>
    <row r="5" spans="1:32" ht="15" outlineLevel="4">
      <c r="E5" s="414"/>
      <c r="F5" s="414"/>
      <c r="G5" s="414"/>
      <c r="H5" s="414"/>
      <c r="I5" s="414"/>
      <c r="J5" s="414"/>
      <c r="Y5" s="404" t="s">
        <v>3804</v>
      </c>
      <c r="Z5" s="401" t="s">
        <v>3788</v>
      </c>
      <c r="AA5" s="401" t="s">
        <v>3789</v>
      </c>
      <c r="AB5" s="401" t="s">
        <v>3790</v>
      </c>
      <c r="AC5" s="408" t="s">
        <v>3791</v>
      </c>
      <c r="AD5" s="413" t="s">
        <v>4552</v>
      </c>
    </row>
    <row r="6" spans="1:32" ht="15.75" outlineLevel="4" thickBot="1">
      <c r="E6" s="414"/>
      <c r="F6" s="414"/>
      <c r="G6" s="414"/>
      <c r="H6" s="414"/>
      <c r="I6" s="414"/>
      <c r="J6" s="414"/>
      <c r="Y6" s="383" t="s">
        <v>4546</v>
      </c>
      <c r="Z6" s="406" t="s">
        <v>4596</v>
      </c>
      <c r="AA6" s="406" t="s">
        <v>4596</v>
      </c>
      <c r="AB6" s="406" t="s">
        <v>4597</v>
      </c>
      <c r="AC6" s="406" t="s">
        <v>4597</v>
      </c>
      <c r="AD6" s="407" t="s">
        <v>4598</v>
      </c>
    </row>
    <row r="7" spans="1:32" ht="15" outlineLevel="4">
      <c r="E7" s="414"/>
      <c r="F7" s="414"/>
      <c r="G7" s="414"/>
      <c r="H7" s="414"/>
      <c r="I7" s="414"/>
      <c r="J7" s="414"/>
    </row>
    <row r="8" spans="1:32" ht="15" outlineLevel="4">
      <c r="E8" s="414"/>
      <c r="F8" s="414"/>
      <c r="G8" s="414"/>
      <c r="H8" s="414"/>
      <c r="I8" s="414"/>
      <c r="J8" s="414"/>
    </row>
    <row r="9" spans="1:32" ht="15" outlineLevel="4">
      <c r="E9" s="414"/>
      <c r="F9" s="414"/>
      <c r="G9" s="414"/>
      <c r="H9" s="414"/>
      <c r="I9" s="414"/>
      <c r="J9" s="414"/>
      <c r="Z9" s="414"/>
      <c r="AA9" s="414"/>
      <c r="AB9" s="414"/>
      <c r="AC9" s="414"/>
      <c r="AD9" s="414"/>
    </row>
    <row r="10" spans="1:32" ht="15" outlineLevel="4">
      <c r="Z10" s="503">
        <v>1000</v>
      </c>
      <c r="AA10" s="503">
        <v>1499</v>
      </c>
      <c r="AB10" s="503">
        <v>2000</v>
      </c>
      <c r="AC10" s="503">
        <v>2500</v>
      </c>
      <c r="AD10" s="503">
        <v>2851</v>
      </c>
    </row>
    <row r="11" spans="1:32" ht="15.75" outlineLevel="4">
      <c r="Y11" s="324"/>
      <c r="Z11" s="503">
        <v>0</v>
      </c>
      <c r="AA11" s="503">
        <v>1001</v>
      </c>
      <c r="AB11" s="503">
        <v>1500</v>
      </c>
      <c r="AC11" s="503">
        <v>2001</v>
      </c>
      <c r="AD11" s="503">
        <v>2501</v>
      </c>
    </row>
    <row r="12" spans="1:32" ht="15.75">
      <c r="X12" s="324"/>
      <c r="Y12" s="1" t="s">
        <v>4555</v>
      </c>
      <c r="Z12" s="504">
        <v>35.35</v>
      </c>
      <c r="AA12" s="504">
        <v>49.7</v>
      </c>
      <c r="AB12" s="504">
        <v>61.2</v>
      </c>
      <c r="AC12" s="504">
        <v>95.55</v>
      </c>
      <c r="AD12" s="504">
        <v>109</v>
      </c>
    </row>
    <row r="13" spans="1:32" ht="21">
      <c r="E13" s="463"/>
      <c r="F13" s="463"/>
      <c r="G13" s="463"/>
      <c r="H13" s="464"/>
      <c r="I13" s="464"/>
      <c r="J13" s="464"/>
      <c r="V13" s="19">
        <f>V14-20</f>
        <v>-20</v>
      </c>
      <c r="W13" s="19" t="str">
        <f>IF(V13&gt;0,"přebývá!","")</f>
        <v/>
      </c>
      <c r="Z13" s="505" t="s">
        <v>4587</v>
      </c>
      <c r="AA13" s="505" t="s">
        <v>4588</v>
      </c>
      <c r="AB13" s="505" t="s">
        <v>4589</v>
      </c>
      <c r="AC13" s="505" t="s">
        <v>4590</v>
      </c>
      <c r="AD13" s="505" t="s">
        <v>4600</v>
      </c>
    </row>
    <row r="14" spans="1:32" ht="26.25" customHeight="1">
      <c r="B14" s="303"/>
      <c r="E14" s="414"/>
      <c r="F14" s="414"/>
      <c r="G14" s="414"/>
      <c r="H14" s="414"/>
      <c r="I14" s="414"/>
      <c r="J14" s="414"/>
      <c r="T14" s="905" t="s">
        <v>4566</v>
      </c>
      <c r="V14" s="19">
        <f>SUM(V16:V21)</f>
        <v>0</v>
      </c>
      <c r="Y14" s="1" t="s">
        <v>4562</v>
      </c>
      <c r="Z14" s="414">
        <v>12</v>
      </c>
      <c r="AA14" s="414">
        <v>12</v>
      </c>
      <c r="AB14" s="414">
        <v>8</v>
      </c>
      <c r="AC14" s="414">
        <v>8</v>
      </c>
      <c r="AD14" s="414">
        <v>6</v>
      </c>
      <c r="AF14" s="1">
        <v>14</v>
      </c>
    </row>
    <row r="15" spans="1:32" ht="15.75">
      <c r="A15" s="473"/>
      <c r="B15" s="218"/>
      <c r="D15" s="414"/>
      <c r="E15" s="466"/>
      <c r="F15" s="466"/>
      <c r="G15" s="466"/>
      <c r="H15" s="466"/>
      <c r="I15" s="466"/>
      <c r="J15" s="466"/>
      <c r="M15" s="19" t="s">
        <v>4563</v>
      </c>
      <c r="S15" s="19" t="s">
        <v>4599</v>
      </c>
      <c r="T15" s="905"/>
      <c r="V15" s="19" t="s">
        <v>4567</v>
      </c>
      <c r="W15" s="19" t="s">
        <v>4568</v>
      </c>
      <c r="X15" s="1" t="s">
        <v>4568</v>
      </c>
      <c r="Y15" s="324" t="s">
        <v>4606</v>
      </c>
      <c r="Z15" s="1">
        <f t="shared" ref="Z15:AC15" si="0">FLOOR(SUM(Z16:Z21)/Z14,1)</f>
        <v>0</v>
      </c>
      <c r="AA15" s="1">
        <f t="shared" si="0"/>
        <v>0</v>
      </c>
      <c r="AB15" s="1">
        <f t="shared" si="0"/>
        <v>0</v>
      </c>
      <c r="AC15" s="1">
        <f t="shared" si="0"/>
        <v>0</v>
      </c>
      <c r="AD15" s="1">
        <f>FLOOR(SUM(AD16:AD21)/AD14,1)</f>
        <v>0</v>
      </c>
      <c r="AF15" s="1">
        <v>15</v>
      </c>
    </row>
    <row r="16" spans="1:32" ht="18" customHeight="1">
      <c r="A16" s="473"/>
      <c r="B16" s="218"/>
      <c r="D16" s="414"/>
      <c r="E16" s="467"/>
      <c r="F16" s="467"/>
      <c r="G16" s="467"/>
      <c r="H16" s="467"/>
      <c r="I16" s="467"/>
      <c r="J16" s="467"/>
      <c r="M16" s="19" t="s">
        <v>4569</v>
      </c>
      <c r="N16" s="19" t="str">
        <f t="shared" ref="N16:N21" si="1">IF(AND(S16&gt;$Z$11,S16&lt;=$Z$10),"tubus A","ne")</f>
        <v>ne</v>
      </c>
      <c r="O16" s="19" t="str">
        <f t="shared" ref="O16:O21" si="2">IF(AND(S16&gt;$Z$11,S16&lt;=$AA$10),"tubus B","ne")</f>
        <v>ne</v>
      </c>
      <c r="P16" s="19" t="str">
        <f t="shared" ref="P16:P21" si="3">IF(AND(S16&gt;$Z$11,S16&lt;=$AB$10),"tubus C","ne")</f>
        <v>ne</v>
      </c>
      <c r="Q16" s="19" t="str">
        <f t="shared" ref="Q16:Q21" si="4">IF(AND(S16&gt;$Z$11,S16&lt;=$AC$10),"tubus D","ne")</f>
        <v>ne</v>
      </c>
      <c r="R16" s="19" t="str">
        <f t="shared" ref="R16:R21" si="5">IF(AND(S16&gt;$Z$11,S16&lt;=$AD$10),"tubus E","ne")</f>
        <v>ne</v>
      </c>
      <c r="S16" s="19">
        <f>MAX(W16:X16)</f>
        <v>0</v>
      </c>
      <c r="T16" s="19" t="str">
        <f t="shared" ref="T16:T21" si="6">IF(N16&lt;&gt;"ne",N16,IF(O16&lt;&gt;"NE",O16,IF(P16&lt;&gt;"NE",P16,IF(Q16&lt;&gt;"NE",Q16,IF(R16&lt;&gt;"Ne",R16,"ne")))))</f>
        <v>ne</v>
      </c>
      <c r="U16" s="19" t="e">
        <f>_xlfn.TEXTBEFORE(T16," ")</f>
        <v>#N/A</v>
      </c>
      <c r="V16" s="19">
        <f>Ram_1!$H$28</f>
        <v>0</v>
      </c>
      <c r="W16" s="19">
        <f>Ram_1!$AI$30</f>
        <v>0</v>
      </c>
      <c r="X16" s="1">
        <f>Ram_1!$AR$14</f>
        <v>0</v>
      </c>
      <c r="Y16" s="13" t="s">
        <v>4569</v>
      </c>
      <c r="Z16" s="13">
        <f>IF($M$2&lt;&gt;3,0,IFERROR((IF(T16=$Z$13,V16,0)),0))</f>
        <v>0</v>
      </c>
      <c r="AA16" s="13">
        <f t="shared" ref="AA16:AA21" si="7">IF($M$2&lt;&gt;3,0,IFERROR((IF(T16=$AA$13,V16,0)),0))</f>
        <v>0</v>
      </c>
      <c r="AB16" s="13">
        <f t="shared" ref="AB16:AB21" si="8">IF($M$2&lt;&gt;3,0,IFERROR((IF(T16=$AB$13,V16,0)),0))</f>
        <v>0</v>
      </c>
      <c r="AC16" s="13">
        <f t="shared" ref="AC16:AC21" si="9">IF($M$2&lt;&gt;3,0,IFERROR((IF(T16=$AC$13,V16,0)),0))</f>
        <v>0</v>
      </c>
      <c r="AD16" s="13">
        <f t="shared" ref="AD16:AD21" si="10">IF($M$2&lt;&gt;3,0,IFERROR((IF(T16=$AD$13,V16,0)),0))</f>
        <v>0</v>
      </c>
      <c r="AE16" s="19" t="s">
        <v>4569</v>
      </c>
      <c r="AF16" s="1">
        <v>16</v>
      </c>
    </row>
    <row r="17" spans="1:58" ht="15">
      <c r="B17" s="414"/>
      <c r="D17" s="414"/>
      <c r="E17" s="414"/>
      <c r="F17" s="414"/>
      <c r="G17" s="414"/>
      <c r="H17" s="414"/>
      <c r="I17" s="414"/>
      <c r="J17" s="414"/>
      <c r="M17" s="19" t="s">
        <v>4570</v>
      </c>
      <c r="N17" s="19" t="str">
        <f t="shared" si="1"/>
        <v>ne</v>
      </c>
      <c r="O17" s="19" t="str">
        <f t="shared" si="2"/>
        <v>ne</v>
      </c>
      <c r="P17" s="19" t="str">
        <f t="shared" si="3"/>
        <v>ne</v>
      </c>
      <c r="Q17" s="19" t="str">
        <f t="shared" si="4"/>
        <v>ne</v>
      </c>
      <c r="R17" s="19" t="str">
        <f t="shared" si="5"/>
        <v>ne</v>
      </c>
      <c r="S17" s="19">
        <f>MAX(W17:X17)</f>
        <v>0</v>
      </c>
      <c r="T17" s="19" t="str">
        <f t="shared" si="6"/>
        <v>ne</v>
      </c>
      <c r="U17" s="19" t="e">
        <f t="shared" ref="U17:U21" si="11">_xlfn.TEXTBEFORE(T17," ")</f>
        <v>#N/A</v>
      </c>
      <c r="V17" s="19">
        <f>Ram_2!$H$28</f>
        <v>0</v>
      </c>
      <c r="W17" s="19">
        <f>Ram_2!$AI$30</f>
        <v>0</v>
      </c>
      <c r="X17" s="1">
        <f>Ram_2!$AR$14</f>
        <v>0</v>
      </c>
      <c r="Y17" s="13" t="s">
        <v>4570</v>
      </c>
      <c r="Z17" s="13">
        <f t="shared" ref="Z17:Z21" si="12">IF($M$2&lt;&gt;3,0,IFERROR((IF(T17=$Z$13,V17,0)),0))</f>
        <v>0</v>
      </c>
      <c r="AA17" s="13">
        <f t="shared" si="7"/>
        <v>0</v>
      </c>
      <c r="AB17" s="13">
        <f t="shared" si="8"/>
        <v>0</v>
      </c>
      <c r="AC17" s="13">
        <f t="shared" si="9"/>
        <v>0</v>
      </c>
      <c r="AD17" s="13">
        <f t="shared" si="10"/>
        <v>0</v>
      </c>
      <c r="AE17" s="19" t="s">
        <v>4570</v>
      </c>
      <c r="AF17" s="1">
        <v>17</v>
      </c>
    </row>
    <row r="18" spans="1:58" ht="15">
      <c r="D18" s="414"/>
      <c r="E18" s="414"/>
      <c r="F18" s="414"/>
      <c r="G18" s="414"/>
      <c r="H18" s="414"/>
      <c r="I18" s="414"/>
      <c r="J18" s="414"/>
      <c r="M18" s="19" t="s">
        <v>4571</v>
      </c>
      <c r="N18" s="19" t="str">
        <f t="shared" si="1"/>
        <v>ne</v>
      </c>
      <c r="O18" s="19" t="str">
        <f t="shared" si="2"/>
        <v>ne</v>
      </c>
      <c r="P18" s="19" t="str">
        <f t="shared" si="3"/>
        <v>ne</v>
      </c>
      <c r="Q18" s="19" t="str">
        <f t="shared" si="4"/>
        <v>ne</v>
      </c>
      <c r="R18" s="19" t="str">
        <f t="shared" si="5"/>
        <v>ne</v>
      </c>
      <c r="S18" s="19">
        <f t="shared" ref="S18:S20" si="13">MAX(W18:X18)</f>
        <v>0</v>
      </c>
      <c r="T18" s="19" t="str">
        <f t="shared" si="6"/>
        <v>ne</v>
      </c>
      <c r="U18" s="19" t="e">
        <f t="shared" si="11"/>
        <v>#N/A</v>
      </c>
      <c r="V18" s="19">
        <f>Ram_3!$H$28</f>
        <v>0</v>
      </c>
      <c r="W18" s="19">
        <f>Ram_3!$AI$30</f>
        <v>0</v>
      </c>
      <c r="X18" s="1">
        <f>Ram_3!$AR$14</f>
        <v>0</v>
      </c>
      <c r="Y18" s="13" t="s">
        <v>4571</v>
      </c>
      <c r="Z18" s="13">
        <f t="shared" si="12"/>
        <v>0</v>
      </c>
      <c r="AA18" s="13">
        <f t="shared" si="7"/>
        <v>0</v>
      </c>
      <c r="AB18" s="13">
        <f t="shared" si="8"/>
        <v>0</v>
      </c>
      <c r="AC18" s="13">
        <f t="shared" si="9"/>
        <v>0</v>
      </c>
      <c r="AD18" s="13">
        <f t="shared" si="10"/>
        <v>0</v>
      </c>
      <c r="AE18" s="19" t="s">
        <v>4571</v>
      </c>
      <c r="AF18" s="1">
        <v>18</v>
      </c>
    </row>
    <row r="19" spans="1:58" ht="16.5" customHeight="1">
      <c r="D19" s="414"/>
      <c r="E19" s="466"/>
      <c r="F19" s="466"/>
      <c r="G19" s="466"/>
      <c r="H19" s="414"/>
      <c r="I19" s="414"/>
      <c r="J19" s="414"/>
      <c r="M19" s="19" t="s">
        <v>4572</v>
      </c>
      <c r="N19" s="19" t="str">
        <f t="shared" si="1"/>
        <v>ne</v>
      </c>
      <c r="O19" s="19" t="str">
        <f t="shared" si="2"/>
        <v>ne</v>
      </c>
      <c r="P19" s="19" t="str">
        <f t="shared" si="3"/>
        <v>ne</v>
      </c>
      <c r="Q19" s="19" t="str">
        <f t="shared" si="4"/>
        <v>ne</v>
      </c>
      <c r="R19" s="19" t="str">
        <f t="shared" si="5"/>
        <v>ne</v>
      </c>
      <c r="S19" s="19">
        <f t="shared" si="13"/>
        <v>0</v>
      </c>
      <c r="T19" s="19" t="str">
        <f t="shared" si="6"/>
        <v>ne</v>
      </c>
      <c r="U19" s="19" t="e">
        <f t="shared" si="11"/>
        <v>#N/A</v>
      </c>
      <c r="V19" s="19">
        <f>Ram_4!$H$28</f>
        <v>0</v>
      </c>
      <c r="W19" s="19">
        <f>Ram_4!$AI$30</f>
        <v>0</v>
      </c>
      <c r="X19" s="1">
        <f>Ram_4!$AR$14</f>
        <v>0</v>
      </c>
      <c r="Y19" s="13" t="s">
        <v>4572</v>
      </c>
      <c r="Z19" s="13">
        <f t="shared" si="12"/>
        <v>0</v>
      </c>
      <c r="AA19" s="13">
        <f t="shared" si="7"/>
        <v>0</v>
      </c>
      <c r="AB19" s="13">
        <f t="shared" si="8"/>
        <v>0</v>
      </c>
      <c r="AC19" s="13">
        <f t="shared" si="9"/>
        <v>0</v>
      </c>
      <c r="AD19" s="13">
        <f t="shared" si="10"/>
        <v>0</v>
      </c>
      <c r="AE19" s="19" t="s">
        <v>4572</v>
      </c>
      <c r="AF19" s="1">
        <v>19</v>
      </c>
    </row>
    <row r="20" spans="1:58" ht="16.5" customHeight="1">
      <c r="D20" s="414"/>
      <c r="E20" s="467"/>
      <c r="F20" s="467"/>
      <c r="G20" s="467"/>
      <c r="H20" s="467"/>
      <c r="I20" s="467"/>
      <c r="J20" s="467"/>
      <c r="M20" s="19" t="s">
        <v>4573</v>
      </c>
      <c r="N20" s="19" t="str">
        <f t="shared" si="1"/>
        <v>ne</v>
      </c>
      <c r="O20" s="19" t="str">
        <f t="shared" si="2"/>
        <v>ne</v>
      </c>
      <c r="P20" s="19" t="str">
        <f t="shared" si="3"/>
        <v>ne</v>
      </c>
      <c r="Q20" s="19" t="str">
        <f t="shared" si="4"/>
        <v>ne</v>
      </c>
      <c r="R20" s="19" t="str">
        <f t="shared" si="5"/>
        <v>ne</v>
      </c>
      <c r="S20" s="19">
        <f t="shared" si="13"/>
        <v>0</v>
      </c>
      <c r="T20" s="19" t="str">
        <f t="shared" si="6"/>
        <v>ne</v>
      </c>
      <c r="U20" s="19" t="e">
        <f t="shared" si="11"/>
        <v>#N/A</v>
      </c>
      <c r="V20" s="19">
        <f>Ram_5!$H$28</f>
        <v>0</v>
      </c>
      <c r="W20" s="19">
        <f>Ram_5!$AI$30</f>
        <v>0</v>
      </c>
      <c r="X20" s="1">
        <f>Ram_5!$AR$14</f>
        <v>0</v>
      </c>
      <c r="Y20" s="13" t="s">
        <v>4573</v>
      </c>
      <c r="Z20" s="13">
        <f t="shared" si="12"/>
        <v>0</v>
      </c>
      <c r="AA20" s="13">
        <f t="shared" si="7"/>
        <v>0</v>
      </c>
      <c r="AB20" s="13">
        <f t="shared" si="8"/>
        <v>0</v>
      </c>
      <c r="AC20" s="13">
        <f t="shared" si="9"/>
        <v>0</v>
      </c>
      <c r="AD20" s="13">
        <f t="shared" si="10"/>
        <v>0</v>
      </c>
      <c r="AE20" s="19" t="s">
        <v>4573</v>
      </c>
      <c r="AF20" s="1">
        <v>20</v>
      </c>
    </row>
    <row r="21" spans="1:58" ht="15">
      <c r="E21" s="414"/>
      <c r="F21" s="414"/>
      <c r="G21" s="414"/>
      <c r="H21" s="467"/>
      <c r="I21" s="467"/>
      <c r="J21" s="467"/>
      <c r="M21" s="19" t="s">
        <v>4574</v>
      </c>
      <c r="N21" s="19" t="str">
        <f t="shared" si="1"/>
        <v>ne</v>
      </c>
      <c r="O21" s="19" t="str">
        <f t="shared" si="2"/>
        <v>ne</v>
      </c>
      <c r="P21" s="19" t="str">
        <f t="shared" si="3"/>
        <v>ne</v>
      </c>
      <c r="Q21" s="19" t="str">
        <f t="shared" si="4"/>
        <v>ne</v>
      </c>
      <c r="R21" s="19" t="str">
        <f t="shared" si="5"/>
        <v>ne</v>
      </c>
      <c r="S21" s="19">
        <f>MAX(W21:X21)</f>
        <v>0</v>
      </c>
      <c r="T21" s="19" t="str">
        <f t="shared" si="6"/>
        <v>ne</v>
      </c>
      <c r="U21" s="19" t="e">
        <f t="shared" si="11"/>
        <v>#N/A</v>
      </c>
      <c r="V21" s="19">
        <f>Ram_6!$H$28</f>
        <v>0</v>
      </c>
      <c r="W21" s="19">
        <f>Ram_6!$AI$30</f>
        <v>0</v>
      </c>
      <c r="X21" s="1">
        <f>Ram_6!$AR$14</f>
        <v>0</v>
      </c>
      <c r="Y21" s="13" t="s">
        <v>4574</v>
      </c>
      <c r="Z21" s="13">
        <f t="shared" si="12"/>
        <v>0</v>
      </c>
      <c r="AA21" s="13">
        <f t="shared" si="7"/>
        <v>0</v>
      </c>
      <c r="AB21" s="13">
        <f t="shared" si="8"/>
        <v>0</v>
      </c>
      <c r="AC21" s="13">
        <f t="shared" si="9"/>
        <v>0</v>
      </c>
      <c r="AD21" s="13">
        <f t="shared" si="10"/>
        <v>0</v>
      </c>
      <c r="AE21" s="19" t="s">
        <v>4574</v>
      </c>
      <c r="AF21" s="1">
        <v>21</v>
      </c>
    </row>
    <row r="22" spans="1:58" ht="15">
      <c r="D22" s="414"/>
      <c r="E22" s="414"/>
      <c r="F22" s="414"/>
      <c r="G22" s="414"/>
      <c r="H22" s="414"/>
      <c r="I22" s="414"/>
      <c r="J22" s="414"/>
      <c r="AC22" s="1">
        <f>IF(AC15=0,SUM(AC16:AC21),SUM(AC16:AC21)-AC14*AC15)</f>
        <v>0</v>
      </c>
      <c r="AD22" s="1">
        <f>IF(AD15=0,SUM(AD16:AD21),SUM(AD16:AD21)-AD14*AD15)</f>
        <v>0</v>
      </c>
      <c r="AE22" s="1" t="s">
        <v>4601</v>
      </c>
      <c r="AF22" s="1">
        <v>22</v>
      </c>
    </row>
    <row r="23" spans="1:58" s="19" customFormat="1" ht="18.75">
      <c r="A23" s="1"/>
      <c r="B23" s="1"/>
      <c r="C23" s="1"/>
      <c r="D23" s="414"/>
      <c r="E23" s="469"/>
      <c r="F23" s="469"/>
      <c r="G23" s="469"/>
      <c r="H23" s="469"/>
      <c r="I23" s="469"/>
      <c r="J23" s="469"/>
      <c r="X23" s="1"/>
      <c r="Y23" s="1"/>
      <c r="Z23" s="1"/>
      <c r="AA23" s="1"/>
      <c r="AB23" s="1"/>
      <c r="AC23" s="1"/>
      <c r="AD23" s="1">
        <f>IF(AD22=0,0,$AD$14-AD22)</f>
        <v>0</v>
      </c>
      <c r="AE23" s="1" t="s">
        <v>4582</v>
      </c>
      <c r="AF23" s="1">
        <v>23</v>
      </c>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s="19" customFormat="1" ht="15">
      <c r="A24" s="1"/>
      <c r="B24" s="1"/>
      <c r="C24" s="1"/>
      <c r="D24" s="414"/>
      <c r="E24" s="414"/>
      <c r="F24" s="414"/>
      <c r="G24" s="414"/>
      <c r="H24" s="414"/>
      <c r="I24" s="414"/>
      <c r="J24" s="414"/>
      <c r="X24" s="1"/>
      <c r="Y24" s="1"/>
      <c r="Z24" s="1"/>
      <c r="AA24" s="1"/>
      <c r="AB24" s="1"/>
      <c r="AC24" s="1">
        <f>IF(AD22=0,AC22,IF(AD23&gt;=AC22,0,AC22-AD23))</f>
        <v>0</v>
      </c>
      <c r="AD24" s="1">
        <f>IF(AD23&gt;=AC22,AC22+AD22,AD23+AD22)</f>
        <v>0</v>
      </c>
      <c r="AE24" s="1" t="s">
        <v>4602</v>
      </c>
      <c r="AF24" s="1">
        <v>24</v>
      </c>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s="19" customFormat="1" ht="15">
      <c r="A25" s="1"/>
      <c r="B25" s="1"/>
      <c r="C25" s="1"/>
      <c r="D25" s="1"/>
      <c r="E25" s="414"/>
      <c r="F25" s="414"/>
      <c r="G25" s="414"/>
      <c r="H25" s="414"/>
      <c r="I25" s="414"/>
      <c r="J25" s="414"/>
      <c r="X25" s="1"/>
      <c r="Y25" s="1"/>
      <c r="Z25" s="1"/>
      <c r="AA25" s="1"/>
      <c r="AB25" s="1">
        <f>IF(AB15=0,SUM(AB16:AB21),SUM(AB16:AB21)-AB14*AB15)</f>
        <v>0</v>
      </c>
      <c r="AC25" s="1">
        <f>IF(AC24=0,0,AC14-AC24)</f>
        <v>0</v>
      </c>
      <c r="AD25" s="1">
        <f>IF(AD22=0,0,$AD$14-AD24)</f>
        <v>0</v>
      </c>
      <c r="AE25" s="1" t="s">
        <v>4582</v>
      </c>
      <c r="AF25" s="1">
        <v>25</v>
      </c>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s="19" customFormat="1" ht="15">
      <c r="A26" s="1"/>
      <c r="B26" s="1"/>
      <c r="C26" s="1"/>
      <c r="D26" s="1"/>
      <c r="E26" s="414"/>
      <c r="F26" s="414"/>
      <c r="G26" s="414"/>
      <c r="H26" s="414"/>
      <c r="I26" s="414"/>
      <c r="J26" s="414"/>
      <c r="X26" s="1"/>
      <c r="Y26" s="1"/>
      <c r="Z26" s="1"/>
      <c r="AA26" s="1"/>
      <c r="AB26" s="1">
        <f>IF($AD$25&gt;=AB25,0,AB25-$AD$25)</f>
        <v>0</v>
      </c>
      <c r="AD26" s="1">
        <f>IF(AD25&gt;0,IF(AD25&gt;=AB25,AB25+AD24,AD25+AD24),AD24)</f>
        <v>0</v>
      </c>
      <c r="AE26" s="1" t="s">
        <v>4603</v>
      </c>
      <c r="AF26" s="1">
        <v>26</v>
      </c>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s="19" customFormat="1" ht="15">
      <c r="A27" s="1"/>
      <c r="B27" s="1"/>
      <c r="C27" s="1"/>
      <c r="D27" s="1"/>
      <c r="E27" s="414"/>
      <c r="F27" s="414"/>
      <c r="G27" s="414"/>
      <c r="H27" s="414"/>
      <c r="I27" s="414"/>
      <c r="J27" s="414"/>
      <c r="X27" s="1"/>
      <c r="Y27" s="1"/>
      <c r="Z27" s="1"/>
      <c r="AA27" s="1">
        <f>IF(AA15=0,SUM(AA16:AA21),SUM(AA16:AA21)-AA14*AA15)</f>
        <v>0</v>
      </c>
      <c r="AB27" s="1">
        <f>IF(AB26=0,0,AB14-AB26)</f>
        <v>0</v>
      </c>
      <c r="AC27" s="1"/>
      <c r="AD27" s="1">
        <f>IF(AD22=0,0,$AD$14-AD26)</f>
        <v>0</v>
      </c>
      <c r="AE27" s="1" t="s">
        <v>4582</v>
      </c>
      <c r="AF27" s="1">
        <v>27</v>
      </c>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s="19" customFormat="1" ht="15">
      <c r="A28" s="1"/>
      <c r="B28" s="1"/>
      <c r="C28" s="1"/>
      <c r="D28" s="1"/>
      <c r="E28" s="414"/>
      <c r="F28" s="414"/>
      <c r="G28" s="414"/>
      <c r="H28" s="414"/>
      <c r="I28" s="414"/>
      <c r="J28" s="414"/>
      <c r="X28" s="1"/>
      <c r="Y28" s="1"/>
      <c r="Z28" s="1"/>
      <c r="AA28" s="1">
        <f>IF($AD$27&gt;=AA27,0,AA27-$AD$27)</f>
        <v>0</v>
      </c>
      <c r="AB28" s="1"/>
      <c r="AC28" s="1"/>
      <c r="AD28" s="1">
        <f>IF(AD27&gt;0,IF(AD27&gt;=AA27,AA27+AD26,AD27+AD26),AD26)</f>
        <v>0</v>
      </c>
      <c r="AE28" s="1" t="s">
        <v>4604</v>
      </c>
      <c r="AF28" s="1">
        <v>28</v>
      </c>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s="19" customFormat="1" ht="15">
      <c r="A29" s="1"/>
      <c r="B29" s="1"/>
      <c r="C29" s="1"/>
      <c r="D29" s="1"/>
      <c r="E29" s="414"/>
      <c r="F29" s="414"/>
      <c r="G29" s="414"/>
      <c r="H29" s="414"/>
      <c r="I29" s="414"/>
      <c r="J29" s="414"/>
      <c r="X29" s="1"/>
      <c r="Y29" s="1"/>
      <c r="Z29" s="1">
        <f>IF(Z15=0,SUM(Z16:Z21),SUM(Z16:Z21)-Z14*Z15)</f>
        <v>0</v>
      </c>
      <c r="AA29" s="1"/>
      <c r="AB29" s="1"/>
      <c r="AC29" s="1"/>
      <c r="AD29" s="1">
        <f>IF(AD22=0,0,$AD$14-AD28)</f>
        <v>0</v>
      </c>
      <c r="AE29" s="1" t="s">
        <v>4582</v>
      </c>
      <c r="AF29" s="1">
        <v>29</v>
      </c>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s="19" customFormat="1" ht="15.75" thickBot="1">
      <c r="A30" s="1"/>
      <c r="B30" s="1"/>
      <c r="C30" s="1"/>
      <c r="D30" s="1"/>
      <c r="E30" s="414"/>
      <c r="F30" s="414"/>
      <c r="G30" s="414"/>
      <c r="H30" s="414"/>
      <c r="I30" s="414"/>
      <c r="J30" s="414"/>
      <c r="X30" s="1"/>
      <c r="Y30" s="1"/>
      <c r="Z30" s="506">
        <f>IF($AD$29&gt;=Z29,0,Z29-$AD$29)</f>
        <v>0</v>
      </c>
      <c r="AA30" s="506"/>
      <c r="AB30" s="506"/>
      <c r="AC30" s="506"/>
      <c r="AD30" s="507">
        <f>IF(AD29&gt;0,IF(AD29&gt;=Z29,Z29+AD28,AD29+AD28),AD28)</f>
        <v>0</v>
      </c>
      <c r="AE30" s="506" t="s">
        <v>4605</v>
      </c>
      <c r="AF30" s="1">
        <v>30</v>
      </c>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s="19" customFormat="1" ht="14.85" customHeight="1" thickTop="1">
      <c r="A31" s="1"/>
      <c r="B31" s="1"/>
      <c r="C31" s="1"/>
      <c r="D31" s="1"/>
      <c r="E31" s="414"/>
      <c r="F31" s="414"/>
      <c r="G31" s="414"/>
      <c r="H31" s="414"/>
      <c r="I31" s="414"/>
      <c r="J31" s="414"/>
      <c r="X31" s="1"/>
      <c r="Y31" s="1"/>
      <c r="Z31" s="1"/>
      <c r="AA31" s="1"/>
      <c r="AB31" s="1">
        <f>AB26</f>
        <v>0</v>
      </c>
      <c r="AC31" s="1">
        <f>AC24</f>
        <v>0</v>
      </c>
      <c r="AD31" s="1"/>
      <c r="AF31" s="1">
        <v>31</v>
      </c>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s="19" customFormat="1" ht="14.85" customHeight="1">
      <c r="A32" s="1"/>
      <c r="B32" s="1"/>
      <c r="C32" s="1"/>
      <c r="D32" s="1"/>
      <c r="E32" s="414"/>
      <c r="F32" s="414"/>
      <c r="G32" s="414"/>
      <c r="H32" s="414"/>
      <c r="I32" s="414"/>
      <c r="J32" s="414"/>
      <c r="X32" s="1"/>
      <c r="Y32" s="1"/>
      <c r="Z32" s="1"/>
      <c r="AA32" s="1"/>
      <c r="AB32" s="1"/>
      <c r="AC32" s="19">
        <f>AC25</f>
        <v>0</v>
      </c>
      <c r="AE32" s="1" t="s">
        <v>4582</v>
      </c>
      <c r="AF32" s="1">
        <v>32</v>
      </c>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s="19" customFormat="1" ht="14.85" customHeight="1">
      <c r="A33" s="1"/>
      <c r="B33" s="1"/>
      <c r="C33" s="1"/>
      <c r="D33" s="1"/>
      <c r="E33" s="1"/>
      <c r="F33" s="1"/>
      <c r="G33" s="1"/>
      <c r="H33" s="1"/>
      <c r="X33" s="1"/>
      <c r="Y33" s="1"/>
      <c r="Z33" s="1"/>
      <c r="AB33" s="1">
        <f>IF(AC32&gt;=AB31,0,AB31-AC32)</f>
        <v>0</v>
      </c>
      <c r="AC33" s="1">
        <f>IF(AC32&gt;=AB31,AB31+AC31,AC32+AC31)</f>
        <v>0</v>
      </c>
      <c r="AE33" s="1" t="s">
        <v>4602</v>
      </c>
      <c r="AF33" s="1">
        <v>33</v>
      </c>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s="19" customFormat="1" ht="14.85" customHeight="1">
      <c r="A34" s="1"/>
      <c r="B34" s="1"/>
      <c r="C34" s="1"/>
      <c r="D34" s="1"/>
      <c r="E34" s="1"/>
      <c r="F34" s="1"/>
      <c r="G34" s="1"/>
      <c r="H34" s="1"/>
      <c r="X34" s="1"/>
      <c r="Y34" s="1"/>
      <c r="Z34" s="1"/>
      <c r="AA34" s="1">
        <f>$AA$28</f>
        <v>0</v>
      </c>
      <c r="AB34" s="1"/>
      <c r="AC34" s="1">
        <f>IF(AC33=0,0,AC14-AC33)</f>
        <v>0</v>
      </c>
      <c r="AD34" s="1"/>
      <c r="AE34" s="1" t="s">
        <v>4582</v>
      </c>
      <c r="AF34" s="1">
        <v>34</v>
      </c>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s="19" customFormat="1" ht="14.85" customHeight="1">
      <c r="A35" s="1"/>
      <c r="B35" s="1"/>
      <c r="C35" s="1"/>
      <c r="D35" s="1"/>
      <c r="E35" s="1"/>
      <c r="F35" s="1"/>
      <c r="G35" s="1"/>
      <c r="H35" s="1"/>
      <c r="X35" s="1"/>
      <c r="Y35" s="1"/>
      <c r="Z35" s="1"/>
      <c r="AA35" s="1">
        <f>IF(AC34&gt;=AA34,0,AA34-AC34)</f>
        <v>0</v>
      </c>
      <c r="AB35" s="1"/>
      <c r="AC35" s="1">
        <f>IF(AC34&gt;=AA34,AA34+AC33,AC34+AC33)</f>
        <v>0</v>
      </c>
      <c r="AD35" s="1"/>
      <c r="AE35" s="1" t="s">
        <v>4603</v>
      </c>
      <c r="AF35" s="1">
        <v>35</v>
      </c>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s="19" customFormat="1" ht="27" customHeight="1">
      <c r="A36" s="1"/>
      <c r="B36" s="1"/>
      <c r="C36" s="1"/>
      <c r="D36" s="1"/>
      <c r="E36" s="463"/>
      <c r="F36" s="463"/>
      <c r="G36" s="463"/>
      <c r="H36" s="464"/>
      <c r="I36" s="464"/>
      <c r="J36" s="464"/>
      <c r="X36" s="1"/>
      <c r="Y36" s="1"/>
      <c r="Z36" s="1">
        <f>Z30</f>
        <v>0</v>
      </c>
      <c r="AA36" s="1"/>
      <c r="AB36" s="1"/>
      <c r="AC36" s="1">
        <f>IF(AC35=0,0,AC14-AC35)</f>
        <v>0</v>
      </c>
      <c r="AD36" s="1"/>
      <c r="AE36" s="1" t="s">
        <v>4582</v>
      </c>
      <c r="AF36" s="1">
        <v>36</v>
      </c>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s="19" customFormat="1" ht="18" customHeight="1" thickBot="1">
      <c r="A37" s="1"/>
      <c r="B37" s="303"/>
      <c r="C37" s="1"/>
      <c r="D37" s="1"/>
      <c r="E37" s="414"/>
      <c r="F37" s="414"/>
      <c r="G37" s="414"/>
      <c r="H37" s="414"/>
      <c r="I37" s="414"/>
      <c r="J37" s="414"/>
      <c r="X37" s="1"/>
      <c r="Y37" s="1"/>
      <c r="Z37" s="506">
        <f>IF(AC36&gt;=Z36,0,Z36-AC36)</f>
        <v>0</v>
      </c>
      <c r="AA37" s="506"/>
      <c r="AB37" s="506"/>
      <c r="AC37" s="507">
        <f>IF(AC36&gt;=Z36,Z36+AC35,AC36+AC35)</f>
        <v>0</v>
      </c>
      <c r="AD37" s="506"/>
      <c r="AE37" s="506" t="s">
        <v>4604</v>
      </c>
      <c r="AF37" s="1">
        <v>37</v>
      </c>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s="19" customFormat="1" ht="14.85" customHeight="1" thickTop="1">
      <c r="A38" s="473"/>
      <c r="B38" s="218"/>
      <c r="C38" s="1"/>
      <c r="D38" s="414"/>
      <c r="E38" s="466"/>
      <c r="F38" s="466"/>
      <c r="G38" s="466"/>
      <c r="H38" s="466"/>
      <c r="I38" s="466"/>
      <c r="J38" s="466"/>
      <c r="X38" s="1"/>
      <c r="Y38" s="1"/>
      <c r="Z38" s="1"/>
      <c r="AA38" s="1">
        <f>AA35</f>
        <v>0</v>
      </c>
      <c r="AB38" s="1">
        <f>AB33</f>
        <v>0</v>
      </c>
      <c r="AC38" s="1"/>
      <c r="AD38" s="1"/>
      <c r="AE38" s="1"/>
      <c r="AF38" s="1">
        <v>38</v>
      </c>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s="19" customFormat="1" ht="14.85" customHeight="1">
      <c r="A39" s="473"/>
      <c r="B39" s="218"/>
      <c r="C39" s="1"/>
      <c r="D39" s="414"/>
      <c r="E39" s="467"/>
      <c r="F39" s="467"/>
      <c r="G39" s="467"/>
      <c r="H39" s="467"/>
      <c r="I39" s="467"/>
      <c r="J39" s="467"/>
      <c r="X39" s="1"/>
      <c r="Y39" s="1"/>
      <c r="Z39" s="1"/>
      <c r="AA39" s="1"/>
      <c r="AB39" s="1">
        <f>IF(AB38=0,0,$AB$14-AB38)</f>
        <v>0</v>
      </c>
      <c r="AC39" s="1"/>
      <c r="AD39" s="1"/>
      <c r="AE39" s="1" t="s">
        <v>4582</v>
      </c>
      <c r="AF39" s="1">
        <v>39</v>
      </c>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s="19" customFormat="1" ht="14.85" customHeight="1">
      <c r="A40" s="1"/>
      <c r="B40" s="414"/>
      <c r="C40" s="1"/>
      <c r="D40" s="414"/>
      <c r="E40" s="414"/>
      <c r="F40" s="414"/>
      <c r="G40" s="414"/>
      <c r="H40" s="414"/>
      <c r="I40" s="414"/>
      <c r="J40" s="414"/>
      <c r="X40" s="1"/>
      <c r="Y40" s="1"/>
      <c r="Z40" s="1"/>
      <c r="AA40" s="1">
        <f>IF(AB39&gt;=AA38,0,AA38-AB39)</f>
        <v>0</v>
      </c>
      <c r="AB40" s="1">
        <f>IF(AB39&gt;=AA38,AA38+AB38,AB39+AB38)</f>
        <v>0</v>
      </c>
      <c r="AC40" s="1"/>
      <c r="AD40" s="1"/>
      <c r="AE40" s="1" t="s">
        <v>4602</v>
      </c>
      <c r="AF40" s="1">
        <v>40</v>
      </c>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s="19" customFormat="1" ht="14.85" customHeight="1">
      <c r="A41" s="1"/>
      <c r="B41" s="1"/>
      <c r="C41" s="1"/>
      <c r="D41" s="414"/>
      <c r="E41" s="414"/>
      <c r="F41" s="414"/>
      <c r="G41" s="414"/>
      <c r="H41" s="414"/>
      <c r="I41" s="414"/>
      <c r="J41" s="414"/>
      <c r="X41" s="1"/>
      <c r="Y41" s="1"/>
      <c r="Z41" s="1">
        <f>Z37</f>
        <v>0</v>
      </c>
      <c r="AA41" s="1"/>
      <c r="AB41" s="1">
        <f>IF(AB40=0,0,$AB$14-AB40)</f>
        <v>0</v>
      </c>
      <c r="AC41" s="1"/>
      <c r="AD41" s="1"/>
      <c r="AE41" s="1" t="s">
        <v>4582</v>
      </c>
      <c r="AF41" s="1">
        <v>41</v>
      </c>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s="19" customFormat="1" ht="14.85" customHeight="1" thickBot="1">
      <c r="A42" s="1"/>
      <c r="B42" s="1"/>
      <c r="C42" s="1"/>
      <c r="D42" s="414"/>
      <c r="E42" s="466"/>
      <c r="F42" s="466"/>
      <c r="G42" s="466"/>
      <c r="H42" s="414"/>
      <c r="I42" s="414"/>
      <c r="J42" s="414"/>
      <c r="X42" s="1"/>
      <c r="Y42" s="1"/>
      <c r="Z42" s="506">
        <f>IF(AB41&gt;=Z41,0,Z41-AB41)</f>
        <v>0</v>
      </c>
      <c r="AA42" s="506"/>
      <c r="AB42" s="507">
        <f>IF(AB41&gt;=Z41,Z41+AB40,AB41+AB40)</f>
        <v>0</v>
      </c>
      <c r="AC42" s="506"/>
      <c r="AD42" s="506"/>
      <c r="AE42" s="506" t="s">
        <v>4603</v>
      </c>
      <c r="AF42" s="1">
        <v>42</v>
      </c>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s="19" customFormat="1" ht="14.85" customHeight="1" thickTop="1">
      <c r="A43" s="1"/>
      <c r="B43" s="1"/>
      <c r="C43" s="1"/>
      <c r="D43" s="414"/>
      <c r="E43" s="467"/>
      <c r="F43" s="467"/>
      <c r="G43" s="467"/>
      <c r="H43" s="467"/>
      <c r="I43" s="467"/>
      <c r="J43" s="467"/>
      <c r="X43" s="1"/>
      <c r="Y43" s="1"/>
      <c r="Z43" s="1">
        <f>Z42</f>
        <v>0</v>
      </c>
      <c r="AA43" s="1">
        <f>AA40</f>
        <v>0</v>
      </c>
      <c r="AB43" s="1"/>
      <c r="AC43" s="1"/>
      <c r="AD43" s="1"/>
      <c r="AE43" s="1"/>
      <c r="AF43" s="1">
        <v>43</v>
      </c>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s="19" customFormat="1" ht="14.85" customHeight="1">
      <c r="A44" s="1"/>
      <c r="B44" s="1"/>
      <c r="C44" s="1"/>
      <c r="D44" s="1"/>
      <c r="E44" s="414"/>
      <c r="F44" s="414"/>
      <c r="G44" s="414"/>
      <c r="H44" s="467"/>
      <c r="I44" s="467"/>
      <c r="J44" s="467"/>
      <c r="X44" s="1"/>
      <c r="Y44" s="1"/>
      <c r="AA44" s="1">
        <f>IF(AA43=0,0,$AA$14-AA43)</f>
        <v>0</v>
      </c>
      <c r="AB44" s="1"/>
      <c r="AC44" s="1"/>
      <c r="AD44" s="1"/>
      <c r="AE44" s="1" t="s">
        <v>4582</v>
      </c>
      <c r="AF44" s="1">
        <v>44</v>
      </c>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s="19" customFormat="1" ht="14.85" customHeight="1" thickBot="1">
      <c r="A45" s="1"/>
      <c r="B45" s="1"/>
      <c r="C45" s="1"/>
      <c r="D45" s="414"/>
      <c r="E45" s="414"/>
      <c r="F45" s="414"/>
      <c r="G45" s="414"/>
      <c r="H45" s="414"/>
      <c r="I45" s="414"/>
      <c r="J45" s="414"/>
      <c r="X45" s="1"/>
      <c r="Y45" s="1"/>
      <c r="Z45" s="508">
        <f>IF(AA44&gt;=Z43,0,Z43-AA44)</f>
        <v>0</v>
      </c>
      <c r="AA45" s="508">
        <f>IF(AA44&gt;=Z43,Z43+AA43,AA44+AA43)</f>
        <v>0</v>
      </c>
      <c r="AB45" s="509"/>
      <c r="AC45" s="509"/>
      <c r="AD45" s="509"/>
      <c r="AE45" s="509" t="s">
        <v>4602</v>
      </c>
      <c r="AF45" s="1">
        <v>45</v>
      </c>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s="19" customFormat="1" ht="14.85" customHeight="1" thickTop="1">
      <c r="A46" s="1"/>
      <c r="B46" s="1"/>
      <c r="C46" s="1"/>
      <c r="D46" s="414"/>
      <c r="E46" s="469"/>
      <c r="F46" s="469"/>
      <c r="G46" s="469"/>
      <c r="H46" s="469"/>
      <c r="I46" s="469"/>
      <c r="J46" s="469"/>
      <c r="X46" s="1"/>
      <c r="Y46" s="1"/>
      <c r="Z46" s="1">
        <f>IF(Z45&gt;0,1,0)+Z15</f>
        <v>0</v>
      </c>
      <c r="AA46" s="1">
        <f>IF(AA45&gt;0,1,0)+AA15</f>
        <v>0</v>
      </c>
      <c r="AB46" s="1">
        <f>IF(AB42&gt;0,1,0)+AB15</f>
        <v>0</v>
      </c>
      <c r="AC46" s="1">
        <f>IF(AC37&gt;0,1,0)+AC15</f>
        <v>0</v>
      </c>
      <c r="AD46" s="1">
        <f>IF(AD30&gt;0,1,0)+AD15</f>
        <v>0</v>
      </c>
      <c r="AE46" s="1" t="s">
        <v>4607</v>
      </c>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s="19" customFormat="1" ht="14.85" customHeight="1">
      <c r="A47" s="1"/>
      <c r="B47" s="1"/>
      <c r="C47" s="1"/>
      <c r="D47" s="414"/>
      <c r="E47" s="414"/>
      <c r="F47" s="414"/>
      <c r="G47" s="414"/>
      <c r="H47" s="414"/>
      <c r="I47" s="414"/>
      <c r="J47" s="414"/>
      <c r="X47" s="1"/>
      <c r="Y47" s="1"/>
      <c r="Z47" s="1">
        <f t="shared" ref="Z47:AC47" si="14">Z46*Z12</f>
        <v>0</v>
      </c>
      <c r="AA47" s="1">
        <f t="shared" si="14"/>
        <v>0</v>
      </c>
      <c r="AB47" s="1">
        <f t="shared" si="14"/>
        <v>0</v>
      </c>
      <c r="AC47" s="1">
        <f t="shared" si="14"/>
        <v>0</v>
      </c>
      <c r="AD47" s="1">
        <f>AD46*AD12</f>
        <v>0</v>
      </c>
      <c r="AE47" s="1" t="s">
        <v>3804</v>
      </c>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s="19" customFormat="1" ht="14.85" customHeight="1">
      <c r="A48" s="1"/>
      <c r="B48" s="1"/>
      <c r="C48" s="1"/>
      <c r="D48" s="1"/>
      <c r="E48" s="414"/>
      <c r="F48" s="414"/>
      <c r="G48" s="414"/>
      <c r="H48" s="414"/>
      <c r="I48" s="414"/>
      <c r="J48" s="414"/>
      <c r="X48" s="1"/>
      <c r="Y48" s="1"/>
      <c r="Z48" s="1"/>
      <c r="AA48" s="1"/>
      <c r="AB48" s="1"/>
      <c r="AC48" s="1"/>
      <c r="AD48" s="1">
        <f>SUM(Z47:AD47)</f>
        <v>0</v>
      </c>
      <c r="AE48" s="1" t="s">
        <v>4608</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s="19" customFormat="1" ht="14.85" customHeight="1">
      <c r="A49" s="1"/>
      <c r="B49" s="1"/>
      <c r="C49" s="1"/>
      <c r="D49" s="1"/>
      <c r="E49" s="414"/>
      <c r="F49" s="414"/>
      <c r="G49" s="414"/>
      <c r="H49" s="414"/>
      <c r="I49" s="414"/>
      <c r="J49" s="414"/>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s="19" customFormat="1" ht="14.85" customHeight="1">
      <c r="A50" s="1"/>
      <c r="B50" s="1"/>
      <c r="C50" s="1"/>
      <c r="D50" s="1"/>
      <c r="E50" s="414"/>
      <c r="F50" s="414"/>
      <c r="G50" s="414"/>
      <c r="H50" s="414"/>
      <c r="I50" s="414"/>
      <c r="J50" s="414"/>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s="19" customFormat="1" ht="14.85" customHeight="1">
      <c r="A51" s="1"/>
      <c r="B51" s="1"/>
      <c r="C51" s="1"/>
      <c r="D51" s="1"/>
      <c r="E51" s="414"/>
      <c r="F51" s="414"/>
      <c r="G51" s="414"/>
      <c r="H51" s="414"/>
      <c r="I51" s="414"/>
      <c r="J51" s="414"/>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s="19" customFormat="1" ht="14.85" customHeight="1">
      <c r="A52" s="1"/>
      <c r="B52" s="1"/>
      <c r="C52" s="1"/>
      <c r="D52" s="1"/>
      <c r="E52" s="414"/>
      <c r="F52" s="414"/>
      <c r="G52" s="414"/>
      <c r="H52" s="414"/>
      <c r="I52" s="414"/>
      <c r="J52" s="414"/>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s="19" customFormat="1" ht="14.85" customHeight="1">
      <c r="A53" s="1"/>
      <c r="B53" s="1"/>
      <c r="C53" s="1"/>
      <c r="D53" s="1"/>
      <c r="E53" s="414"/>
      <c r="F53" s="414"/>
      <c r="G53" s="414"/>
      <c r="H53" s="414"/>
      <c r="I53" s="414"/>
      <c r="J53" s="414"/>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s="19" customFormat="1" ht="14.85" customHeight="1">
      <c r="A54" s="1"/>
      <c r="B54" s="1"/>
      <c r="C54" s="1"/>
      <c r="D54" s="1"/>
      <c r="E54" s="414"/>
      <c r="F54" s="414"/>
      <c r="G54" s="414"/>
      <c r="H54" s="414"/>
      <c r="I54" s="414"/>
      <c r="J54" s="414"/>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s="19" customFormat="1" ht="14.85" customHeight="1">
      <c r="A55" s="1"/>
      <c r="B55" s="1"/>
      <c r="C55" s="1"/>
      <c r="D55" s="1"/>
      <c r="E55" s="414"/>
      <c r="F55" s="414"/>
      <c r="G55" s="414"/>
      <c r="H55" s="414"/>
      <c r="I55" s="414"/>
      <c r="J55" s="414"/>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row r="56" spans="1:58" s="19" customFormat="1" ht="14.85" customHeight="1">
      <c r="A56" s="1"/>
      <c r="B56" s="1"/>
      <c r="C56" s="1"/>
      <c r="D56" s="1"/>
      <c r="E56" s="1"/>
      <c r="F56" s="1"/>
      <c r="G56" s="1"/>
      <c r="H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row>
    <row r="57" spans="1:58" s="19" customFormat="1" ht="14.85" customHeight="1">
      <c r="A57" s="1"/>
      <c r="B57" s="1"/>
      <c r="C57" s="1"/>
      <c r="D57" s="1"/>
      <c r="E57" s="1"/>
      <c r="F57" s="1"/>
      <c r="G57" s="1"/>
      <c r="H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row>
    <row r="58" spans="1:58" s="19" customFormat="1" ht="14.85" customHeight="1">
      <c r="A58" s="1"/>
      <c r="B58" s="1"/>
      <c r="C58" s="1"/>
      <c r="D58" s="1"/>
      <c r="E58" s="1"/>
      <c r="F58" s="1"/>
      <c r="G58" s="1"/>
      <c r="H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row>
    <row r="59" spans="1:58" s="19" customFormat="1" ht="18.75" customHeight="1">
      <c r="A59" s="1"/>
      <c r="B59" s="1"/>
      <c r="C59" s="1"/>
      <c r="D59" s="1"/>
      <c r="E59" s="463"/>
      <c r="F59" s="463"/>
      <c r="G59" s="463"/>
      <c r="H59" s="464"/>
      <c r="I59" s="464"/>
      <c r="J59" s="464"/>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row>
    <row r="60" spans="1:58" s="19" customFormat="1" ht="19.5" customHeight="1">
      <c r="A60" s="1"/>
      <c r="B60" s="303"/>
      <c r="C60" s="1"/>
      <c r="D60" s="1"/>
      <c r="E60" s="414"/>
      <c r="F60" s="414"/>
      <c r="G60" s="414"/>
      <c r="H60" s="414"/>
      <c r="I60" s="414"/>
      <c r="J60" s="414"/>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row>
    <row r="61" spans="1:58" s="19" customFormat="1" ht="14.85" customHeight="1">
      <c r="A61" s="473"/>
      <c r="B61" s="218"/>
      <c r="C61" s="1"/>
      <c r="D61" s="414"/>
      <c r="E61" s="466"/>
      <c r="F61" s="466"/>
      <c r="G61" s="466"/>
      <c r="H61" s="466"/>
      <c r="I61" s="466"/>
      <c r="J61" s="466"/>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row>
    <row r="62" spans="1:58" s="19" customFormat="1" ht="14.85" customHeight="1">
      <c r="A62" s="473"/>
      <c r="B62" s="218"/>
      <c r="C62" s="1"/>
      <c r="D62" s="414"/>
      <c r="E62" s="467"/>
      <c r="F62" s="467"/>
      <c r="G62" s="467"/>
      <c r="H62" s="467"/>
      <c r="I62" s="467"/>
      <c r="J62" s="467"/>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row>
    <row r="63" spans="1:58" s="19" customFormat="1" ht="14.85" customHeight="1">
      <c r="A63" s="1"/>
      <c r="B63" s="414"/>
      <c r="C63" s="1"/>
      <c r="D63" s="414"/>
      <c r="E63" s="414"/>
      <c r="F63" s="414"/>
      <c r="G63" s="414"/>
      <c r="H63" s="414"/>
      <c r="I63" s="414"/>
      <c r="J63" s="414"/>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row>
    <row r="64" spans="1:58" s="19" customFormat="1" ht="14.85" customHeight="1">
      <c r="A64" s="1"/>
      <c r="B64" s="1"/>
      <c r="C64" s="1"/>
      <c r="D64" s="414"/>
      <c r="E64" s="414"/>
      <c r="F64" s="414"/>
      <c r="G64" s="414"/>
      <c r="H64" s="414"/>
      <c r="I64" s="414"/>
      <c r="J64" s="414"/>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row>
    <row r="65" spans="1:58" s="19" customFormat="1" ht="14.85" customHeight="1">
      <c r="A65" s="1"/>
      <c r="B65" s="1"/>
      <c r="C65" s="1"/>
      <c r="D65" s="414"/>
      <c r="E65" s="466"/>
      <c r="F65" s="466"/>
      <c r="G65" s="466"/>
      <c r="H65" s="414"/>
      <c r="I65" s="414"/>
      <c r="J65" s="414"/>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row>
    <row r="66" spans="1:58" s="19" customFormat="1" ht="14.85" customHeight="1">
      <c r="A66" s="1"/>
      <c r="B66" s="1"/>
      <c r="C66" s="1"/>
      <c r="D66" s="414"/>
      <c r="E66" s="467"/>
      <c r="F66" s="467"/>
      <c r="G66" s="467"/>
      <c r="H66" s="467"/>
      <c r="I66" s="467"/>
      <c r="J66" s="467"/>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row>
    <row r="67" spans="1:58" s="19" customFormat="1" ht="14.85" customHeight="1">
      <c r="A67" s="1"/>
      <c r="B67" s="1"/>
      <c r="C67" s="1"/>
      <c r="D67" s="1"/>
      <c r="E67" s="414"/>
      <c r="F67" s="414"/>
      <c r="G67" s="414"/>
      <c r="H67" s="467"/>
      <c r="I67" s="467"/>
      <c r="J67" s="467"/>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row>
    <row r="68" spans="1:58" s="19" customFormat="1" ht="14.85" customHeight="1">
      <c r="A68" s="1"/>
      <c r="B68" s="1"/>
      <c r="C68" s="1"/>
      <c r="D68" s="414"/>
      <c r="E68" s="414"/>
      <c r="F68" s="414"/>
      <c r="G68" s="414"/>
      <c r="H68" s="414"/>
      <c r="I68" s="414"/>
      <c r="J68" s="414"/>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row>
    <row r="69" spans="1:58" s="19" customFormat="1" ht="14.85" customHeight="1">
      <c r="A69" s="1"/>
      <c r="B69" s="1"/>
      <c r="C69" s="1"/>
      <c r="D69" s="414"/>
      <c r="E69" s="469"/>
      <c r="F69" s="469"/>
      <c r="G69" s="469"/>
      <c r="H69" s="469"/>
      <c r="I69" s="469"/>
      <c r="J69" s="469"/>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row>
    <row r="70" spans="1:58" s="19" customFormat="1" ht="14.85" customHeight="1">
      <c r="A70" s="1"/>
      <c r="B70" s="1"/>
      <c r="C70" s="1"/>
      <c r="D70" s="414"/>
      <c r="E70" s="414"/>
      <c r="F70" s="414"/>
      <c r="G70" s="414"/>
      <c r="H70" s="414"/>
      <c r="I70" s="414"/>
      <c r="J70" s="414"/>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row>
    <row r="71" spans="1:58" s="19" customFormat="1" ht="14.85" customHeight="1">
      <c r="A71" s="1"/>
      <c r="B71" s="1"/>
      <c r="C71" s="1"/>
      <c r="D71" s="1"/>
      <c r="E71" s="414"/>
      <c r="F71" s="414"/>
      <c r="G71" s="414"/>
      <c r="H71" s="414"/>
      <c r="I71" s="414"/>
      <c r="J71" s="414"/>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row>
    <row r="72" spans="1:58" s="19" customFormat="1" ht="14.85" customHeight="1">
      <c r="A72" s="1"/>
      <c r="B72" s="1"/>
      <c r="C72" s="1"/>
      <c r="D72" s="1"/>
      <c r="E72" s="414"/>
      <c r="F72" s="414"/>
      <c r="G72" s="414"/>
      <c r="H72" s="414"/>
      <c r="I72" s="414"/>
      <c r="J72" s="414"/>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row>
    <row r="73" spans="1:58" s="19" customFormat="1" ht="14.85" customHeight="1">
      <c r="A73" s="1"/>
      <c r="B73" s="1"/>
      <c r="C73" s="1"/>
      <c r="D73" s="1"/>
      <c r="E73" s="414"/>
      <c r="F73" s="414"/>
      <c r="G73" s="414"/>
      <c r="H73" s="414"/>
      <c r="I73" s="414"/>
      <c r="J73" s="414"/>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row>
    <row r="74" spans="1:58" s="19" customFormat="1" ht="14.85" customHeight="1">
      <c r="A74" s="1"/>
      <c r="B74" s="1"/>
      <c r="C74" s="1"/>
      <c r="D74" s="1"/>
      <c r="E74" s="414"/>
      <c r="F74" s="414"/>
      <c r="G74" s="414"/>
      <c r="H74" s="414"/>
      <c r="I74" s="414"/>
      <c r="J74" s="414"/>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row>
    <row r="75" spans="1:58" s="19" customFormat="1" ht="14.85" customHeight="1">
      <c r="A75" s="1"/>
      <c r="B75" s="1"/>
      <c r="C75" s="1"/>
      <c r="D75" s="1"/>
      <c r="E75" s="414"/>
      <c r="F75" s="414"/>
      <c r="G75" s="414"/>
      <c r="H75" s="414"/>
      <c r="I75" s="414"/>
      <c r="J75" s="414"/>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row>
    <row r="76" spans="1:58" s="19" customFormat="1" ht="14.85" customHeight="1">
      <c r="A76" s="1"/>
      <c r="B76" s="1"/>
      <c r="C76" s="1"/>
      <c r="D76" s="1"/>
      <c r="E76" s="414"/>
      <c r="F76" s="414"/>
      <c r="G76" s="414"/>
      <c r="H76" s="414"/>
      <c r="I76" s="414"/>
      <c r="J76" s="414"/>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row>
    <row r="77" spans="1:58" s="19" customFormat="1" ht="14.85" customHeight="1">
      <c r="A77" s="1"/>
      <c r="B77" s="1"/>
      <c r="C77" s="1"/>
      <c r="D77" s="1"/>
      <c r="E77" s="414"/>
      <c r="F77" s="414"/>
      <c r="G77" s="414"/>
      <c r="H77" s="414"/>
      <c r="I77" s="414"/>
      <c r="J77" s="414"/>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row>
    <row r="78" spans="1:58" s="19" customFormat="1" ht="14.85" customHeight="1">
      <c r="A78" s="1"/>
      <c r="B78" s="1"/>
      <c r="C78" s="1"/>
      <c r="D78" s="1"/>
      <c r="E78" s="414"/>
      <c r="F78" s="414"/>
      <c r="G78" s="414"/>
      <c r="H78" s="414"/>
      <c r="I78" s="414"/>
      <c r="J78" s="414"/>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row>
    <row r="79" spans="1:58" s="19" customFormat="1" ht="14.85" customHeight="1">
      <c r="A79" s="1"/>
      <c r="B79" s="1"/>
      <c r="C79" s="1"/>
      <c r="D79" s="1"/>
      <c r="E79" s="1"/>
      <c r="F79" s="1"/>
      <c r="G79" s="1"/>
      <c r="H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row>
    <row r="80" spans="1:58" s="19" customFormat="1" ht="14.85" customHeight="1">
      <c r="A80" s="1"/>
      <c r="B80" s="1"/>
      <c r="C80" s="1"/>
      <c r="D80" s="1"/>
      <c r="E80" s="1"/>
      <c r="F80" s="1"/>
      <c r="G80" s="1"/>
      <c r="H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row>
    <row r="81" spans="1:58" s="19" customFormat="1" ht="14.85" customHeight="1">
      <c r="A81" s="1"/>
      <c r="B81" s="1"/>
      <c r="C81" s="1"/>
      <c r="D81" s="1"/>
      <c r="E81" s="1"/>
      <c r="F81" s="1"/>
      <c r="G81" s="1"/>
      <c r="H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row>
    <row r="82" spans="1:58" s="19" customFormat="1" ht="23.25" customHeight="1">
      <c r="A82" s="1"/>
      <c r="B82" s="1"/>
      <c r="C82" s="1"/>
      <c r="D82" s="1"/>
      <c r="E82" s="463"/>
      <c r="F82" s="463"/>
      <c r="G82" s="463"/>
      <c r="H82" s="464"/>
      <c r="I82" s="464"/>
      <c r="J82" s="464"/>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row>
    <row r="83" spans="1:58" s="19" customFormat="1" ht="14.85" customHeight="1">
      <c r="A83" s="1"/>
      <c r="B83" s="303"/>
      <c r="C83" s="1"/>
      <c r="D83" s="1"/>
      <c r="E83" s="414"/>
      <c r="F83" s="414"/>
      <c r="G83" s="414"/>
      <c r="H83" s="414"/>
      <c r="I83" s="414"/>
      <c r="J83" s="414"/>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row>
    <row r="84" spans="1:58" s="19" customFormat="1" ht="14.85" customHeight="1">
      <c r="A84" s="473"/>
      <c r="B84" s="218"/>
      <c r="C84" s="1"/>
      <c r="D84" s="414"/>
      <c r="E84" s="466"/>
      <c r="F84" s="466"/>
      <c r="G84" s="466"/>
      <c r="H84" s="466"/>
      <c r="I84" s="466"/>
      <c r="J84" s="466"/>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row>
    <row r="85" spans="1:58" s="19" customFormat="1" ht="14.85" customHeight="1">
      <c r="A85" s="473"/>
      <c r="B85" s="218"/>
      <c r="C85" s="1"/>
      <c r="D85" s="414"/>
      <c r="E85" s="467"/>
      <c r="F85" s="467"/>
      <c r="G85" s="467"/>
      <c r="H85" s="467"/>
      <c r="I85" s="467"/>
      <c r="J85" s="467"/>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row>
    <row r="86" spans="1:58" s="19" customFormat="1" ht="14.85" customHeight="1">
      <c r="A86" s="1"/>
      <c r="B86" s="414"/>
      <c r="C86" s="1"/>
      <c r="D86" s="414"/>
      <c r="E86" s="414"/>
      <c r="F86" s="414"/>
      <c r="G86" s="414"/>
      <c r="H86" s="414"/>
      <c r="I86" s="414"/>
      <c r="J86" s="414"/>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row>
    <row r="87" spans="1:58" s="19" customFormat="1" ht="14.85" customHeight="1">
      <c r="A87" s="1"/>
      <c r="B87" s="1"/>
      <c r="C87" s="1"/>
      <c r="D87" s="414"/>
      <c r="E87" s="414"/>
      <c r="F87" s="414"/>
      <c r="G87" s="414"/>
      <c r="H87" s="414"/>
      <c r="I87" s="414"/>
      <c r="J87" s="414"/>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row>
    <row r="88" spans="1:58" s="19" customFormat="1" ht="14.85" customHeight="1">
      <c r="A88" s="1"/>
      <c r="B88" s="1"/>
      <c r="C88" s="1"/>
      <c r="D88" s="414"/>
      <c r="E88" s="466"/>
      <c r="F88" s="466"/>
      <c r="G88" s="466"/>
      <c r="H88" s="414"/>
      <c r="I88" s="414"/>
      <c r="J88" s="414"/>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row>
    <row r="89" spans="1:58" s="19" customFormat="1" ht="14.85" customHeight="1">
      <c r="A89" s="1"/>
      <c r="B89" s="1"/>
      <c r="C89" s="1"/>
      <c r="D89" s="414"/>
      <c r="E89" s="467"/>
      <c r="F89" s="467"/>
      <c r="G89" s="467"/>
      <c r="H89" s="467"/>
      <c r="I89" s="467"/>
      <c r="J89" s="467"/>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row>
    <row r="90" spans="1:58" s="19" customFormat="1" ht="14.85" customHeight="1">
      <c r="A90" s="1"/>
      <c r="B90" s="1"/>
      <c r="C90" s="1"/>
      <c r="D90" s="1"/>
      <c r="E90" s="414"/>
      <c r="F90" s="414"/>
      <c r="G90" s="414"/>
      <c r="H90" s="467"/>
      <c r="I90" s="467"/>
      <c r="J90" s="467"/>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row>
    <row r="91" spans="1:58" s="19" customFormat="1" ht="14.85" customHeight="1">
      <c r="A91" s="1"/>
      <c r="B91" s="1"/>
      <c r="C91" s="1"/>
      <c r="D91" s="414"/>
      <c r="E91" s="414"/>
      <c r="F91" s="414"/>
      <c r="G91" s="414"/>
      <c r="H91" s="414"/>
      <c r="I91" s="414"/>
      <c r="J91" s="414"/>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row>
    <row r="92" spans="1:58" s="19" customFormat="1" ht="14.85" customHeight="1">
      <c r="A92" s="1"/>
      <c r="B92" s="1"/>
      <c r="C92" s="1"/>
      <c r="D92" s="414"/>
      <c r="E92" s="469"/>
      <c r="F92" s="469"/>
      <c r="G92" s="469"/>
      <c r="H92" s="469"/>
      <c r="I92" s="469"/>
      <c r="J92" s="469"/>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row>
    <row r="93" spans="1:58" s="19" customFormat="1" ht="14.85" customHeight="1">
      <c r="A93" s="1"/>
      <c r="B93" s="1"/>
      <c r="C93" s="1"/>
      <c r="D93" s="414"/>
      <c r="E93" s="414"/>
      <c r="F93" s="414"/>
      <c r="G93" s="414"/>
      <c r="H93" s="414"/>
      <c r="I93" s="414"/>
      <c r="J93" s="414"/>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row>
    <row r="94" spans="1:58" s="19" customFormat="1" ht="14.85" customHeight="1">
      <c r="A94" s="1"/>
      <c r="B94" s="1"/>
      <c r="C94" s="1"/>
      <c r="D94" s="1"/>
      <c r="E94" s="414"/>
      <c r="F94" s="414"/>
      <c r="G94" s="414"/>
      <c r="H94" s="414"/>
      <c r="I94" s="414"/>
      <c r="J94" s="414"/>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row>
    <row r="95" spans="1:58" s="19" customFormat="1" ht="14.85" customHeight="1">
      <c r="A95" s="1"/>
      <c r="B95" s="1"/>
      <c r="C95" s="1"/>
      <c r="D95" s="1"/>
      <c r="E95" s="414"/>
      <c r="F95" s="414"/>
      <c r="G95" s="414"/>
      <c r="H95" s="414"/>
      <c r="I95" s="414"/>
      <c r="J95" s="414"/>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row>
    <row r="96" spans="1:58" s="19" customFormat="1" ht="14.85" customHeight="1">
      <c r="A96" s="1"/>
      <c r="B96" s="1"/>
      <c r="C96" s="1"/>
      <c r="D96" s="1"/>
      <c r="E96" s="414"/>
      <c r="F96" s="414"/>
      <c r="G96" s="414"/>
      <c r="H96" s="414"/>
      <c r="I96" s="414"/>
      <c r="J96" s="414"/>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row>
    <row r="97" spans="1:58" s="19" customFormat="1" ht="14.85" customHeight="1">
      <c r="A97" s="1"/>
      <c r="B97" s="1"/>
      <c r="C97" s="1"/>
      <c r="D97" s="1"/>
      <c r="E97" s="414"/>
      <c r="F97" s="414"/>
      <c r="G97" s="414"/>
      <c r="H97" s="414"/>
      <c r="I97" s="414"/>
      <c r="J97" s="414"/>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row>
    <row r="98" spans="1:58" s="19" customFormat="1" ht="14.85" customHeight="1">
      <c r="A98" s="1"/>
      <c r="B98" s="1"/>
      <c r="C98" s="1"/>
      <c r="D98" s="1"/>
      <c r="E98" s="414"/>
      <c r="F98" s="414"/>
      <c r="G98" s="414"/>
      <c r="H98" s="414"/>
      <c r="I98" s="414"/>
      <c r="J98" s="414"/>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row>
    <row r="99" spans="1:58" s="19" customFormat="1" ht="14.85" customHeight="1">
      <c r="A99" s="1"/>
      <c r="B99" s="1"/>
      <c r="C99" s="1"/>
      <c r="D99" s="1"/>
      <c r="E99" s="414"/>
      <c r="F99" s="414"/>
      <c r="G99" s="414"/>
      <c r="H99" s="414"/>
      <c r="I99" s="414"/>
      <c r="J99" s="414"/>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row>
    <row r="100" spans="1:58" s="19" customFormat="1" ht="14.85" customHeight="1">
      <c r="A100" s="1"/>
      <c r="B100" s="1"/>
      <c r="C100" s="1"/>
      <c r="D100" s="1"/>
      <c r="E100" s="414"/>
      <c r="F100" s="414"/>
      <c r="G100" s="414"/>
      <c r="H100" s="414"/>
      <c r="I100" s="414"/>
      <c r="J100" s="414"/>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row>
    <row r="101" spans="1:58" s="19" customFormat="1" ht="14.85" customHeight="1">
      <c r="A101" s="1"/>
      <c r="B101" s="1"/>
      <c r="C101" s="1"/>
      <c r="D101" s="1"/>
      <c r="E101" s="414"/>
      <c r="F101" s="414"/>
      <c r="G101" s="414"/>
      <c r="H101" s="414"/>
      <c r="I101" s="414"/>
      <c r="J101" s="414"/>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row>
    <row r="102" spans="1:58" s="19" customFormat="1" ht="14.85" customHeight="1">
      <c r="A102" s="1"/>
      <c r="B102" s="1"/>
      <c r="C102" s="1"/>
      <c r="D102" s="1"/>
      <c r="E102" s="1"/>
      <c r="F102" s="1"/>
      <c r="G102" s="1"/>
      <c r="H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row>
    <row r="103" spans="1:58" ht="14.85" customHeight="1"/>
    <row r="104" spans="1:58" ht="14.85" customHeight="1"/>
    <row r="105" spans="1:58" ht="14.85" customHeight="1"/>
    <row r="106" spans="1:58" ht="14.85" customHeight="1"/>
    <row r="107" spans="1:58" ht="14.85" customHeight="1"/>
    <row r="108" spans="1:58" ht="14.85" customHeight="1"/>
    <row r="109" spans="1:58" ht="14.85" customHeight="1"/>
    <row r="110" spans="1:58" ht="14.85" customHeight="1"/>
    <row r="111" spans="1:58" ht="14.85" customHeight="1"/>
    <row r="112" spans="1:58" ht="14.85" customHeight="1"/>
    <row r="113" ht="32.85" customHeight="1"/>
    <row r="114" ht="14.85" customHeight="1"/>
    <row r="115" ht="14.85" customHeight="1"/>
    <row r="116" ht="14.85" customHeight="1"/>
  </sheetData>
  <sheetProtection selectLockedCells="1"/>
  <mergeCells count="2">
    <mergeCell ref="O3:P3"/>
    <mergeCell ref="T14:T15"/>
  </mergeCells>
  <conditionalFormatting sqref="E69">
    <cfRule type="expression" dxfId="29" priority="45">
      <formula>$E$59=$E$69</formula>
    </cfRule>
  </conditionalFormatting>
  <conditionalFormatting sqref="E92">
    <cfRule type="expression" dxfId="28" priority="33">
      <formula>$E$59=$E$69</formula>
    </cfRule>
  </conditionalFormatting>
  <conditionalFormatting sqref="E67:G67">
    <cfRule type="containsText" dxfId="27" priority="40" operator="containsText" text="balík">
      <formula>NOT(ISERROR(SEARCH("balík",E67)))</formula>
    </cfRule>
  </conditionalFormatting>
  <conditionalFormatting sqref="E90:G90">
    <cfRule type="containsText" dxfId="26" priority="28" operator="containsText" text="balík">
      <formula>NOT(ISERROR(SEARCH("balík",E90)))</formula>
    </cfRule>
  </conditionalFormatting>
  <conditionalFormatting sqref="E9:J9 F10">
    <cfRule type="containsText" dxfId="25" priority="55" operator="containsText" text="výsledn">
      <formula>NOT(ISERROR(SEARCH("výsledn",E9)))</formula>
    </cfRule>
  </conditionalFormatting>
  <conditionalFormatting sqref="E17:J17">
    <cfRule type="containsText" dxfId="24" priority="41" operator="containsText" text="paleta">
      <formula>NOT(ISERROR(SEARCH("paleta",E17)))</formula>
    </cfRule>
    <cfRule type="containsText" dxfId="23" priority="42" operator="containsText" text="balík">
      <formula>NOT(ISERROR(SEARCH("balík",E17)))</formula>
    </cfRule>
  </conditionalFormatting>
  <conditionalFormatting sqref="E55:J55">
    <cfRule type="containsText" dxfId="22" priority="52" operator="containsText" text="výsledn">
      <formula>NOT(ISERROR(SEARCH("výsledn",E55)))</formula>
    </cfRule>
  </conditionalFormatting>
  <conditionalFormatting sqref="E63:J63">
    <cfRule type="containsText" dxfId="21" priority="38" operator="containsText" text="paleta">
      <formula>NOT(ISERROR(SEARCH("paleta",E63)))</formula>
    </cfRule>
    <cfRule type="containsText" dxfId="20" priority="39" operator="containsText" text="balík">
      <formula>NOT(ISERROR(SEARCH("balík",E63)))</formula>
    </cfRule>
  </conditionalFormatting>
  <conditionalFormatting sqref="E78:J78">
    <cfRule type="containsText" dxfId="19" priority="49" operator="containsText" text="výsledn">
      <formula>NOT(ISERROR(SEARCH("výsledn",E78)))</formula>
    </cfRule>
  </conditionalFormatting>
  <conditionalFormatting sqref="E86:J86">
    <cfRule type="containsText" dxfId="18" priority="26" operator="containsText" text="paleta">
      <formula>NOT(ISERROR(SEARCH("paleta",E86)))</formula>
    </cfRule>
    <cfRule type="containsText" dxfId="17" priority="27" operator="containsText" text="balík">
      <formula>NOT(ISERROR(SEARCH("balík",E86)))</formula>
    </cfRule>
  </conditionalFormatting>
  <conditionalFormatting sqref="E101:J101">
    <cfRule type="containsText" dxfId="16" priority="37" operator="containsText" text="výsledn">
      <formula>NOT(ISERROR(SEARCH("výsledn",E101)))</formula>
    </cfRule>
  </conditionalFormatting>
  <conditionalFormatting sqref="F8">
    <cfRule type="expression" dxfId="15" priority="53">
      <formula>F9="výsledná zásilka"</formula>
    </cfRule>
  </conditionalFormatting>
  <conditionalFormatting sqref="F54">
    <cfRule type="expression" dxfId="14" priority="50">
      <formula>F55="výsledná zásilka"</formula>
    </cfRule>
  </conditionalFormatting>
  <conditionalFormatting sqref="F69">
    <cfRule type="expression" dxfId="13" priority="48">
      <formula>$F$59=$F$69</formula>
    </cfRule>
  </conditionalFormatting>
  <conditionalFormatting sqref="F92">
    <cfRule type="expression" dxfId="12" priority="36">
      <formula>$F$59=$F$69</formula>
    </cfRule>
  </conditionalFormatting>
  <conditionalFormatting sqref="F100">
    <cfRule type="expression" dxfId="11" priority="31">
      <formula>F101="výsledná zásilka"</formula>
    </cfRule>
  </conditionalFormatting>
  <conditionalFormatting sqref="G69">
    <cfRule type="expression" dxfId="10" priority="44">
      <formula>$G$59=$G$69</formula>
    </cfRule>
  </conditionalFormatting>
  <conditionalFormatting sqref="G92">
    <cfRule type="expression" dxfId="9" priority="30">
      <formula>$G$59=$G$69</formula>
    </cfRule>
  </conditionalFormatting>
  <conditionalFormatting sqref="H8">
    <cfRule type="expression" dxfId="8" priority="54">
      <formula>H9="výsledná zásilka"</formula>
    </cfRule>
  </conditionalFormatting>
  <conditionalFormatting sqref="H54">
    <cfRule type="expression" dxfId="7" priority="51">
      <formula>H55="výsledná zásilka"</formula>
    </cfRule>
  </conditionalFormatting>
  <conditionalFormatting sqref="H69">
    <cfRule type="expression" dxfId="6" priority="47">
      <formula>$H$69=$H$59</formula>
    </cfRule>
  </conditionalFormatting>
  <conditionalFormatting sqref="H92">
    <cfRule type="expression" dxfId="5" priority="35">
      <formula>$H$69=$H$59</formula>
    </cfRule>
  </conditionalFormatting>
  <conditionalFormatting sqref="H100">
    <cfRule type="expression" dxfId="4" priority="32">
      <formula>H101="výsledná zásilka"</formula>
    </cfRule>
  </conditionalFormatting>
  <conditionalFormatting sqref="I69">
    <cfRule type="expression" dxfId="3" priority="43">
      <formula>$I$59=$I$69</formula>
    </cfRule>
  </conditionalFormatting>
  <conditionalFormatting sqref="I92">
    <cfRule type="expression" dxfId="2" priority="29">
      <formula>$I$59=$I$69</formula>
    </cfRule>
  </conditionalFormatting>
  <conditionalFormatting sqref="J69">
    <cfRule type="expression" dxfId="1" priority="46">
      <formula>#REF!=#REF!</formula>
    </cfRule>
  </conditionalFormatting>
  <conditionalFormatting sqref="J92">
    <cfRule type="expression" dxfId="0" priority="34">
      <formula>#REF!=#REF!</formula>
    </cfRule>
  </conditionalFormatting>
  <conditionalFormatting sqref="AG3:AG8 AF3">
    <cfRule type="colorScale" priority="25">
      <colorScale>
        <cfvo type="min"/>
        <cfvo type="percentile" val="50"/>
        <cfvo type="max"/>
        <color rgb="FF63BE7B"/>
        <color rgb="FFFFEB84"/>
        <color rgb="FFF8696B"/>
      </colorScale>
    </cfRule>
  </conditionalFormatting>
  <pageMargins left="0.7" right="0.7" top="0.78740157499999996" bottom="0.78740157499999996" header="0.3" footer="0.3"/>
  <pageSetup paperSize="9" scale="70" fitToHeight="6" orientation="landscape"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AAD84-9BE7-49C9-B3C3-BDF3341FF87B}">
  <sheetPr codeName="List6"/>
  <dimension ref="A1:AJ60"/>
  <sheetViews>
    <sheetView workbookViewId="0"/>
  </sheetViews>
  <sheetFormatPr defaultRowHeight="15"/>
  <cols>
    <col min="1" max="1" width="32.42578125" customWidth="1"/>
    <col min="3" max="3" width="7" bestFit="1" customWidth="1"/>
    <col min="4" max="4" width="70.42578125" style="2" bestFit="1" customWidth="1"/>
    <col min="5" max="5" width="70.42578125" style="2" customWidth="1"/>
    <col min="6" max="6" width="10.42578125" bestFit="1" customWidth="1"/>
    <col min="7" max="7" width="5" bestFit="1" customWidth="1"/>
    <col min="8" max="8" width="8" bestFit="1" customWidth="1"/>
    <col min="9" max="9" width="8.5703125" bestFit="1" customWidth="1"/>
    <col min="11" max="11" width="10.42578125" bestFit="1" customWidth="1"/>
    <col min="12" max="12" width="46" bestFit="1" customWidth="1"/>
    <col min="13" max="13" width="5.5703125" bestFit="1" customWidth="1"/>
    <col min="14" max="14" width="10.42578125" bestFit="1" customWidth="1"/>
    <col min="15" max="15" width="31" bestFit="1" customWidth="1"/>
    <col min="16" max="16" width="5.5703125" bestFit="1" customWidth="1"/>
    <col min="17" max="17" width="10.42578125" bestFit="1" customWidth="1"/>
    <col min="18" max="18" width="40.42578125" bestFit="1" customWidth="1"/>
    <col min="19" max="19" width="18.42578125" bestFit="1" customWidth="1"/>
    <col min="20" max="20" width="10.42578125" bestFit="1" customWidth="1"/>
    <col min="21" max="21" width="46" bestFit="1" customWidth="1"/>
    <col min="22" max="22" width="18.42578125" bestFit="1" customWidth="1"/>
    <col min="23" max="23" width="10.42578125" bestFit="1" customWidth="1"/>
    <col min="24" max="24" width="20.5703125" bestFit="1" customWidth="1"/>
    <col min="25" max="25" width="18.42578125" bestFit="1" customWidth="1"/>
    <col min="26" max="26" width="10.42578125" bestFit="1" customWidth="1"/>
    <col min="27" max="27" width="26.5703125" bestFit="1" customWidth="1"/>
    <col min="28" max="28" width="18.42578125" bestFit="1" customWidth="1"/>
    <col min="29" max="29" width="3" bestFit="1" customWidth="1"/>
  </cols>
  <sheetData>
    <row r="1" spans="1:36" s="17" customFormat="1">
      <c r="A1" s="17" t="s">
        <v>833</v>
      </c>
      <c r="B1" s="17" t="s">
        <v>834</v>
      </c>
      <c r="C1" s="17" t="s">
        <v>75</v>
      </c>
      <c r="D1" s="22" t="s">
        <v>19</v>
      </c>
      <c r="E1" s="22"/>
      <c r="F1" s="17" t="s">
        <v>835</v>
      </c>
      <c r="G1" s="17" t="s">
        <v>836</v>
      </c>
      <c r="H1" s="17" t="s">
        <v>837</v>
      </c>
      <c r="I1" s="17" t="s">
        <v>838</v>
      </c>
      <c r="J1" s="17" t="s">
        <v>839</v>
      </c>
      <c r="K1" s="17" t="s">
        <v>840</v>
      </c>
      <c r="L1" s="17" t="s">
        <v>841</v>
      </c>
      <c r="M1" s="17" t="s">
        <v>842</v>
      </c>
      <c r="N1" s="17" t="s">
        <v>840</v>
      </c>
      <c r="O1" s="17" t="s">
        <v>841</v>
      </c>
      <c r="P1" s="17" t="s">
        <v>842</v>
      </c>
      <c r="Q1" s="17" t="s">
        <v>840</v>
      </c>
      <c r="R1" s="17" t="s">
        <v>841</v>
      </c>
      <c r="S1" s="17" t="s">
        <v>842</v>
      </c>
      <c r="T1" s="17" t="s">
        <v>840</v>
      </c>
      <c r="U1" s="17" t="s">
        <v>841</v>
      </c>
      <c r="V1" s="17" t="s">
        <v>842</v>
      </c>
      <c r="W1" s="17" t="s">
        <v>840</v>
      </c>
      <c r="X1" s="17" t="s">
        <v>841</v>
      </c>
      <c r="Y1" s="17" t="s">
        <v>842</v>
      </c>
      <c r="Z1" s="17" t="s">
        <v>840</v>
      </c>
      <c r="AA1" s="17" t="s">
        <v>841</v>
      </c>
      <c r="AB1" s="17" t="s">
        <v>842</v>
      </c>
      <c r="AC1" s="17">
        <v>16</v>
      </c>
    </row>
    <row r="2" spans="1:36">
      <c r="B2" t="s">
        <v>57</v>
      </c>
      <c r="C2">
        <v>92584</v>
      </c>
      <c r="D2" s="2" t="s">
        <v>843</v>
      </c>
      <c r="E2" s="2" t="e">
        <f>VLOOKUP(C:C,#REF!,1,FALSE)</f>
        <v>#REF!</v>
      </c>
      <c r="F2" t="s">
        <v>829</v>
      </c>
      <c r="K2">
        <v>92598</v>
      </c>
      <c r="L2" t="s">
        <v>569</v>
      </c>
      <c r="M2" t="s">
        <v>831</v>
      </c>
      <c r="N2">
        <v>92597</v>
      </c>
      <c r="O2" t="s">
        <v>570</v>
      </c>
      <c r="P2" t="s">
        <v>831</v>
      </c>
      <c r="Q2">
        <v>92598</v>
      </c>
      <c r="R2" t="s">
        <v>571</v>
      </c>
      <c r="S2" t="s">
        <v>831</v>
      </c>
      <c r="T2">
        <v>92599</v>
      </c>
      <c r="U2" t="s">
        <v>572</v>
      </c>
      <c r="V2" t="s">
        <v>831</v>
      </c>
      <c r="W2">
        <v>0</v>
      </c>
      <c r="X2">
        <v>0</v>
      </c>
      <c r="Y2" t="e">
        <v>#N/A</v>
      </c>
      <c r="Z2">
        <v>0</v>
      </c>
      <c r="AA2">
        <v>0</v>
      </c>
      <c r="AB2" t="e">
        <v>#N/A</v>
      </c>
      <c r="AC2" t="s">
        <v>662</v>
      </c>
      <c r="AE2">
        <f>K:K</f>
        <v>92598</v>
      </c>
      <c r="AF2">
        <f>N:N</f>
        <v>92597</v>
      </c>
      <c r="AG2">
        <f>Q:Q</f>
        <v>92598</v>
      </c>
      <c r="AH2">
        <f>T:T</f>
        <v>92599</v>
      </c>
      <c r="AI2">
        <f>W:W</f>
        <v>0</v>
      </c>
      <c r="AJ2">
        <f>Z:Z</f>
        <v>0</v>
      </c>
    </row>
    <row r="3" spans="1:36">
      <c r="B3" t="s">
        <v>57</v>
      </c>
      <c r="C3">
        <v>92585</v>
      </c>
      <c r="D3" s="2" t="s">
        <v>844</v>
      </c>
      <c r="E3" s="2" t="e">
        <f>VLOOKUP(C:C,#REF!,1,FALSE)</f>
        <v>#REF!</v>
      </c>
      <c r="F3" t="s">
        <v>829</v>
      </c>
      <c r="K3">
        <v>92596</v>
      </c>
      <c r="L3" t="s">
        <v>569</v>
      </c>
      <c r="M3" t="s">
        <v>831</v>
      </c>
      <c r="N3">
        <v>92597</v>
      </c>
      <c r="O3" t="s">
        <v>570</v>
      </c>
      <c r="P3" t="s">
        <v>831</v>
      </c>
      <c r="Q3">
        <v>92598</v>
      </c>
      <c r="R3" t="s">
        <v>571</v>
      </c>
      <c r="S3" t="s">
        <v>831</v>
      </c>
      <c r="T3">
        <v>92599</v>
      </c>
      <c r="U3" t="s">
        <v>572</v>
      </c>
      <c r="V3" t="s">
        <v>831</v>
      </c>
      <c r="W3">
        <v>0</v>
      </c>
      <c r="X3">
        <v>0</v>
      </c>
      <c r="Y3" t="e">
        <v>#N/A</v>
      </c>
      <c r="Z3">
        <v>0</v>
      </c>
      <c r="AA3">
        <v>0</v>
      </c>
      <c r="AB3" t="e">
        <v>#N/A</v>
      </c>
      <c r="AC3" t="s">
        <v>663</v>
      </c>
      <c r="AE3">
        <f t="shared" ref="AE3:AE55" si="0">K:K</f>
        <v>92596</v>
      </c>
      <c r="AF3">
        <f t="shared" ref="AF3:AF55" si="1">N:N</f>
        <v>92597</v>
      </c>
      <c r="AG3">
        <f t="shared" ref="AG3:AG55" si="2">Q:Q</f>
        <v>92598</v>
      </c>
      <c r="AH3">
        <f t="shared" ref="AH3:AH55" si="3">T:T</f>
        <v>92599</v>
      </c>
      <c r="AI3">
        <f t="shared" ref="AI3:AI55" si="4">W:W</f>
        <v>0</v>
      </c>
      <c r="AJ3">
        <f t="shared" ref="AJ3:AJ55" si="5">Z:Z</f>
        <v>0</v>
      </c>
    </row>
    <row r="4" spans="1:36">
      <c r="B4" t="s">
        <v>57</v>
      </c>
      <c r="C4">
        <v>92586</v>
      </c>
      <c r="D4" s="2" t="s">
        <v>845</v>
      </c>
      <c r="E4" s="2" t="e">
        <f>VLOOKUP(C:C,#REF!,1,FALSE)</f>
        <v>#REF!</v>
      </c>
      <c r="F4" t="s">
        <v>829</v>
      </c>
      <c r="K4">
        <v>92596</v>
      </c>
      <c r="L4" t="s">
        <v>569</v>
      </c>
      <c r="M4" t="s">
        <v>831</v>
      </c>
      <c r="N4">
        <v>92597</v>
      </c>
      <c r="O4" t="s">
        <v>570</v>
      </c>
      <c r="P4" t="s">
        <v>831</v>
      </c>
      <c r="Q4">
        <v>92598</v>
      </c>
      <c r="R4" t="s">
        <v>571</v>
      </c>
      <c r="S4" t="s">
        <v>831</v>
      </c>
      <c r="T4">
        <v>92599</v>
      </c>
      <c r="U4" t="s">
        <v>572</v>
      </c>
      <c r="V4" t="s">
        <v>831</v>
      </c>
      <c r="W4">
        <v>0</v>
      </c>
      <c r="X4">
        <v>0</v>
      </c>
      <c r="Y4" t="e">
        <v>#N/A</v>
      </c>
      <c r="Z4">
        <v>0</v>
      </c>
      <c r="AA4">
        <v>0</v>
      </c>
      <c r="AB4" t="e">
        <v>#N/A</v>
      </c>
      <c r="AC4" t="s">
        <v>664</v>
      </c>
      <c r="AE4">
        <f t="shared" si="0"/>
        <v>92596</v>
      </c>
      <c r="AF4">
        <f t="shared" si="1"/>
        <v>92597</v>
      </c>
      <c r="AG4">
        <f t="shared" si="2"/>
        <v>92598</v>
      </c>
      <c r="AH4">
        <f t="shared" si="3"/>
        <v>92599</v>
      </c>
      <c r="AI4">
        <f t="shared" si="4"/>
        <v>0</v>
      </c>
      <c r="AJ4">
        <f t="shared" si="5"/>
        <v>0</v>
      </c>
    </row>
    <row r="5" spans="1:36">
      <c r="B5" t="s">
        <v>57</v>
      </c>
      <c r="C5">
        <v>92588</v>
      </c>
      <c r="D5" s="2" t="s">
        <v>846</v>
      </c>
      <c r="E5" s="2" t="e">
        <f>VLOOKUP(C:C,#REF!,1,FALSE)</f>
        <v>#REF!</v>
      </c>
      <c r="F5" t="s">
        <v>829</v>
      </c>
      <c r="K5">
        <v>92596</v>
      </c>
      <c r="L5" t="s">
        <v>569</v>
      </c>
      <c r="M5" t="s">
        <v>831</v>
      </c>
      <c r="N5">
        <v>92597</v>
      </c>
      <c r="O5" t="s">
        <v>570</v>
      </c>
      <c r="P5" t="s">
        <v>831</v>
      </c>
      <c r="Q5">
        <v>92598</v>
      </c>
      <c r="R5" t="s">
        <v>571</v>
      </c>
      <c r="S5" t="s">
        <v>831</v>
      </c>
      <c r="T5">
        <v>92599</v>
      </c>
      <c r="U5" t="s">
        <v>572</v>
      </c>
      <c r="V5" t="s">
        <v>831</v>
      </c>
      <c r="W5">
        <v>0</v>
      </c>
      <c r="X5">
        <v>0</v>
      </c>
      <c r="Y5" t="e">
        <v>#N/A</v>
      </c>
      <c r="Z5">
        <v>0</v>
      </c>
      <c r="AA5">
        <v>0</v>
      </c>
      <c r="AB5" t="e">
        <v>#N/A</v>
      </c>
      <c r="AC5" t="s">
        <v>665</v>
      </c>
      <c r="AE5">
        <f t="shared" si="0"/>
        <v>92596</v>
      </c>
      <c r="AF5">
        <f t="shared" si="1"/>
        <v>92597</v>
      </c>
      <c r="AG5">
        <f t="shared" si="2"/>
        <v>92598</v>
      </c>
      <c r="AH5">
        <f t="shared" si="3"/>
        <v>92599</v>
      </c>
      <c r="AI5">
        <f t="shared" si="4"/>
        <v>0</v>
      </c>
      <c r="AJ5">
        <f t="shared" si="5"/>
        <v>0</v>
      </c>
    </row>
    <row r="6" spans="1:36">
      <c r="B6" t="s">
        <v>57</v>
      </c>
      <c r="C6">
        <v>92580</v>
      </c>
      <c r="D6" s="2" t="s">
        <v>847</v>
      </c>
      <c r="E6" s="2" t="e">
        <f>VLOOKUP(C:C,#REF!,1,FALSE)</f>
        <v>#REF!</v>
      </c>
      <c r="F6" t="s">
        <v>829</v>
      </c>
      <c r="K6">
        <v>92613</v>
      </c>
      <c r="L6" t="s">
        <v>848</v>
      </c>
      <c r="M6" t="s">
        <v>829</v>
      </c>
      <c r="N6">
        <v>92614</v>
      </c>
      <c r="O6" t="s">
        <v>849</v>
      </c>
      <c r="P6" t="s">
        <v>829</v>
      </c>
      <c r="Q6">
        <v>92592</v>
      </c>
      <c r="R6" t="s">
        <v>850</v>
      </c>
      <c r="S6" t="s">
        <v>829</v>
      </c>
      <c r="T6">
        <v>92593</v>
      </c>
      <c r="U6" t="s">
        <v>851</v>
      </c>
      <c r="V6" t="s">
        <v>829</v>
      </c>
      <c r="W6">
        <v>0</v>
      </c>
      <c r="X6">
        <v>0</v>
      </c>
      <c r="Y6" t="e">
        <v>#N/A</v>
      </c>
      <c r="Z6">
        <v>0</v>
      </c>
      <c r="AA6">
        <v>0</v>
      </c>
      <c r="AB6" t="e">
        <v>#N/A</v>
      </c>
      <c r="AC6" t="s">
        <v>662</v>
      </c>
      <c r="AE6">
        <f t="shared" si="0"/>
        <v>92613</v>
      </c>
      <c r="AF6">
        <f t="shared" si="1"/>
        <v>92614</v>
      </c>
      <c r="AG6">
        <f t="shared" si="2"/>
        <v>92592</v>
      </c>
      <c r="AH6">
        <f t="shared" si="3"/>
        <v>92593</v>
      </c>
      <c r="AI6">
        <f t="shared" si="4"/>
        <v>0</v>
      </c>
      <c r="AJ6">
        <f t="shared" si="5"/>
        <v>0</v>
      </c>
    </row>
    <row r="7" spans="1:36">
      <c r="B7" t="s">
        <v>57</v>
      </c>
      <c r="C7">
        <v>92582</v>
      </c>
      <c r="D7" s="2" t="s">
        <v>852</v>
      </c>
      <c r="E7" s="2" t="e">
        <f>VLOOKUP(C:C,#REF!,1,FALSE)</f>
        <v>#REF!</v>
      </c>
      <c r="F7" t="s">
        <v>829</v>
      </c>
      <c r="K7">
        <v>92613</v>
      </c>
      <c r="L7" t="s">
        <v>848</v>
      </c>
      <c r="M7" t="s">
        <v>829</v>
      </c>
      <c r="N7">
        <v>92614</v>
      </c>
      <c r="O7" t="s">
        <v>849</v>
      </c>
      <c r="P7" t="s">
        <v>829</v>
      </c>
      <c r="Q7">
        <v>92592</v>
      </c>
      <c r="R7" t="s">
        <v>850</v>
      </c>
      <c r="S7" t="s">
        <v>829</v>
      </c>
      <c r="T7">
        <v>92593</v>
      </c>
      <c r="U7" t="s">
        <v>851</v>
      </c>
      <c r="V7" t="s">
        <v>829</v>
      </c>
      <c r="W7">
        <v>0</v>
      </c>
      <c r="X7">
        <v>0</v>
      </c>
      <c r="Y7" t="e">
        <v>#N/A</v>
      </c>
      <c r="Z7">
        <v>0</v>
      </c>
      <c r="AA7">
        <v>0</v>
      </c>
      <c r="AB7" t="e">
        <v>#N/A</v>
      </c>
      <c r="AC7" t="s">
        <v>663</v>
      </c>
      <c r="AE7">
        <f t="shared" si="0"/>
        <v>92613</v>
      </c>
      <c r="AF7">
        <f t="shared" si="1"/>
        <v>92614</v>
      </c>
      <c r="AG7">
        <f t="shared" si="2"/>
        <v>92592</v>
      </c>
      <c r="AH7">
        <f t="shared" si="3"/>
        <v>92593</v>
      </c>
      <c r="AI7">
        <f t="shared" si="4"/>
        <v>0</v>
      </c>
      <c r="AJ7">
        <f t="shared" si="5"/>
        <v>0</v>
      </c>
    </row>
    <row r="8" spans="1:36">
      <c r="B8" t="s">
        <v>57</v>
      </c>
      <c r="C8">
        <v>92583</v>
      </c>
      <c r="D8" s="2" t="s">
        <v>853</v>
      </c>
      <c r="E8" s="2" t="e">
        <f>VLOOKUP(C:C,#REF!,1,FALSE)</f>
        <v>#REF!</v>
      </c>
      <c r="F8" t="s">
        <v>829</v>
      </c>
      <c r="K8">
        <v>92613</v>
      </c>
      <c r="L8" t="s">
        <v>848</v>
      </c>
      <c r="M8" t="s">
        <v>829</v>
      </c>
      <c r="N8">
        <v>92614</v>
      </c>
      <c r="O8" t="s">
        <v>849</v>
      </c>
      <c r="P8" t="s">
        <v>829</v>
      </c>
      <c r="Q8">
        <v>92592</v>
      </c>
      <c r="R8" t="s">
        <v>850</v>
      </c>
      <c r="S8" t="s">
        <v>829</v>
      </c>
      <c r="T8">
        <v>92593</v>
      </c>
      <c r="U8" t="s">
        <v>851</v>
      </c>
      <c r="V8" t="s">
        <v>829</v>
      </c>
      <c r="W8">
        <v>0</v>
      </c>
      <c r="X8">
        <v>0</v>
      </c>
      <c r="Y8" t="e">
        <v>#N/A</v>
      </c>
      <c r="Z8">
        <v>0</v>
      </c>
      <c r="AA8">
        <v>0</v>
      </c>
      <c r="AB8" t="e">
        <v>#N/A</v>
      </c>
      <c r="AC8" t="s">
        <v>664</v>
      </c>
      <c r="AE8">
        <f t="shared" si="0"/>
        <v>92613</v>
      </c>
      <c r="AF8">
        <f t="shared" si="1"/>
        <v>92614</v>
      </c>
      <c r="AG8">
        <f t="shared" si="2"/>
        <v>92592</v>
      </c>
      <c r="AH8">
        <f t="shared" si="3"/>
        <v>92593</v>
      </c>
      <c r="AI8">
        <f t="shared" si="4"/>
        <v>0</v>
      </c>
      <c r="AJ8">
        <f t="shared" si="5"/>
        <v>0</v>
      </c>
    </row>
    <row r="9" spans="1:36">
      <c r="A9" t="s">
        <v>854</v>
      </c>
      <c r="B9" t="s">
        <v>57</v>
      </c>
      <c r="C9" t="s">
        <v>431</v>
      </c>
      <c r="D9" s="2" t="s">
        <v>855</v>
      </c>
      <c r="E9" s="2" t="e">
        <f>VLOOKUP(C:C,#REF!,1,FALSE)</f>
        <v>#REF!</v>
      </c>
      <c r="F9" t="s">
        <v>830</v>
      </c>
      <c r="G9">
        <v>1</v>
      </c>
      <c r="H9">
        <v>1</v>
      </c>
      <c r="I9" t="s">
        <v>662</v>
      </c>
      <c r="J9">
        <v>0</v>
      </c>
      <c r="K9" t="s">
        <v>58</v>
      </c>
      <c r="L9" t="s">
        <v>573</v>
      </c>
      <c r="M9" t="s">
        <v>831</v>
      </c>
      <c r="N9" t="s">
        <v>64</v>
      </c>
      <c r="O9" t="s">
        <v>574</v>
      </c>
      <c r="P9" t="s">
        <v>831</v>
      </c>
      <c r="Q9">
        <v>0</v>
      </c>
      <c r="R9">
        <v>0</v>
      </c>
      <c r="S9" t="e">
        <v>#N/A</v>
      </c>
      <c r="T9">
        <v>0</v>
      </c>
      <c r="U9">
        <v>0</v>
      </c>
      <c r="V9" t="e">
        <v>#N/A</v>
      </c>
      <c r="W9">
        <v>0</v>
      </c>
      <c r="X9">
        <v>0</v>
      </c>
      <c r="Y9" t="e">
        <v>#N/A</v>
      </c>
      <c r="Z9">
        <v>0</v>
      </c>
      <c r="AA9">
        <v>0</v>
      </c>
      <c r="AB9" t="e">
        <v>#N/A</v>
      </c>
      <c r="AC9" t="s">
        <v>662</v>
      </c>
      <c r="AE9" t="str">
        <f t="shared" si="0"/>
        <v>92590T</v>
      </c>
      <c r="AF9" t="str">
        <f t="shared" si="1"/>
        <v>92591T</v>
      </c>
      <c r="AG9">
        <f t="shared" si="2"/>
        <v>0</v>
      </c>
      <c r="AH9">
        <f t="shared" si="3"/>
        <v>0</v>
      </c>
      <c r="AI9">
        <f t="shared" si="4"/>
        <v>0</v>
      </c>
      <c r="AJ9">
        <f t="shared" si="5"/>
        <v>0</v>
      </c>
    </row>
    <row r="10" spans="1:36">
      <c r="A10" t="s">
        <v>854</v>
      </c>
      <c r="B10" t="s">
        <v>57</v>
      </c>
      <c r="C10">
        <v>350863</v>
      </c>
      <c r="D10" s="2" t="s">
        <v>2497</v>
      </c>
      <c r="E10" s="2" t="e">
        <f>VLOOKUP(C:C,#REF!,1,FALSE)</f>
        <v>#REF!</v>
      </c>
      <c r="F10" t="s">
        <v>831</v>
      </c>
      <c r="G10">
        <v>1</v>
      </c>
      <c r="H10">
        <v>1</v>
      </c>
      <c r="I10" t="s">
        <v>662</v>
      </c>
      <c r="J10">
        <v>0</v>
      </c>
      <c r="K10">
        <v>315856</v>
      </c>
      <c r="L10" t="s">
        <v>856</v>
      </c>
      <c r="M10" t="s">
        <v>831</v>
      </c>
      <c r="N10">
        <v>92596</v>
      </c>
      <c r="O10" t="s">
        <v>569</v>
      </c>
      <c r="P10" t="s">
        <v>831</v>
      </c>
      <c r="Q10">
        <v>92597</v>
      </c>
      <c r="R10" t="s">
        <v>570</v>
      </c>
      <c r="S10" t="s">
        <v>831</v>
      </c>
      <c r="T10">
        <v>350868</v>
      </c>
      <c r="U10" t="s">
        <v>857</v>
      </c>
      <c r="V10" t="s">
        <v>830</v>
      </c>
      <c r="W10">
        <v>92598</v>
      </c>
      <c r="X10" t="s">
        <v>571</v>
      </c>
      <c r="Y10" t="s">
        <v>831</v>
      </c>
      <c r="Z10">
        <v>92599</v>
      </c>
      <c r="AA10" t="s">
        <v>572</v>
      </c>
      <c r="AB10" t="s">
        <v>831</v>
      </c>
      <c r="AC10" t="s">
        <v>662</v>
      </c>
      <c r="AE10">
        <f t="shared" si="0"/>
        <v>315856</v>
      </c>
      <c r="AF10">
        <f t="shared" si="1"/>
        <v>92596</v>
      </c>
      <c r="AG10">
        <f t="shared" si="2"/>
        <v>92597</v>
      </c>
      <c r="AH10">
        <f t="shared" si="3"/>
        <v>350868</v>
      </c>
      <c r="AI10">
        <f t="shared" si="4"/>
        <v>92598</v>
      </c>
      <c r="AJ10">
        <f t="shared" si="5"/>
        <v>92599</v>
      </c>
    </row>
    <row r="11" spans="1:36">
      <c r="A11" t="s">
        <v>858</v>
      </c>
      <c r="B11" t="s">
        <v>57</v>
      </c>
      <c r="C11">
        <v>350864</v>
      </c>
      <c r="D11" s="2" t="s">
        <v>2506</v>
      </c>
      <c r="E11" s="2" t="e">
        <f>VLOOKUP(C:C,#REF!,1,FALSE)</f>
        <v>#REF!</v>
      </c>
      <c r="F11" t="s">
        <v>831</v>
      </c>
      <c r="G11">
        <v>1</v>
      </c>
      <c r="H11">
        <v>0</v>
      </c>
      <c r="I11" t="s">
        <v>662</v>
      </c>
      <c r="J11">
        <v>1</v>
      </c>
      <c r="K11">
        <v>315856</v>
      </c>
      <c r="L11" t="s">
        <v>856</v>
      </c>
      <c r="M11" t="s">
        <v>831</v>
      </c>
      <c r="N11">
        <v>92596</v>
      </c>
      <c r="O11" t="s">
        <v>569</v>
      </c>
      <c r="P11" t="s">
        <v>831</v>
      </c>
      <c r="Q11">
        <v>92597</v>
      </c>
      <c r="R11" t="s">
        <v>570</v>
      </c>
      <c r="S11" t="s">
        <v>831</v>
      </c>
      <c r="T11">
        <v>350868</v>
      </c>
      <c r="U11" t="s">
        <v>857</v>
      </c>
      <c r="V11" t="s">
        <v>830</v>
      </c>
      <c r="W11">
        <v>92598</v>
      </c>
      <c r="X11" t="s">
        <v>571</v>
      </c>
      <c r="Y11" t="s">
        <v>831</v>
      </c>
      <c r="Z11">
        <v>92599</v>
      </c>
      <c r="AA11" t="s">
        <v>572</v>
      </c>
      <c r="AB11" t="s">
        <v>831</v>
      </c>
      <c r="AC11" t="s">
        <v>662</v>
      </c>
      <c r="AE11">
        <f t="shared" si="0"/>
        <v>315856</v>
      </c>
      <c r="AF11">
        <f t="shared" si="1"/>
        <v>92596</v>
      </c>
      <c r="AG11">
        <f t="shared" si="2"/>
        <v>92597</v>
      </c>
      <c r="AH11">
        <f t="shared" si="3"/>
        <v>350868</v>
      </c>
      <c r="AI11">
        <f t="shared" si="4"/>
        <v>92598</v>
      </c>
      <c r="AJ11">
        <f t="shared" si="5"/>
        <v>92599</v>
      </c>
    </row>
    <row r="12" spans="1:36">
      <c r="A12" t="s">
        <v>854</v>
      </c>
      <c r="B12" t="s">
        <v>57</v>
      </c>
      <c r="C12" t="s">
        <v>59</v>
      </c>
      <c r="D12" s="2" t="s">
        <v>859</v>
      </c>
      <c r="E12" s="2" t="e">
        <f>VLOOKUP(C:C,#REF!,1,FALSE)</f>
        <v>#REF!</v>
      </c>
      <c r="F12" t="s">
        <v>831</v>
      </c>
      <c r="G12">
        <v>0</v>
      </c>
      <c r="H12">
        <v>1</v>
      </c>
      <c r="I12" t="s">
        <v>662</v>
      </c>
      <c r="J12">
        <v>0</v>
      </c>
      <c r="K12" t="s">
        <v>58</v>
      </c>
      <c r="L12" t="s">
        <v>573</v>
      </c>
      <c r="M12" t="s">
        <v>831</v>
      </c>
      <c r="N12" t="s">
        <v>79</v>
      </c>
      <c r="O12" t="s">
        <v>860</v>
      </c>
      <c r="P12" t="s">
        <v>830</v>
      </c>
      <c r="Q12" t="s">
        <v>62</v>
      </c>
      <c r="R12" t="s">
        <v>861</v>
      </c>
      <c r="S12" t="s">
        <v>831</v>
      </c>
      <c r="T12" t="s">
        <v>64</v>
      </c>
      <c r="U12">
        <v>0</v>
      </c>
      <c r="V12" t="s">
        <v>831</v>
      </c>
      <c r="W12" t="s">
        <v>78</v>
      </c>
      <c r="X12">
        <v>0</v>
      </c>
      <c r="Y12" t="s">
        <v>831</v>
      </c>
      <c r="Z12">
        <v>0</v>
      </c>
      <c r="AA12">
        <v>0</v>
      </c>
      <c r="AB12" t="e">
        <v>#N/A</v>
      </c>
      <c r="AC12" t="s">
        <v>662</v>
      </c>
      <c r="AE12" t="str">
        <f t="shared" si="0"/>
        <v>92590T</v>
      </c>
      <c r="AF12" t="str">
        <f t="shared" si="1"/>
        <v>92592T</v>
      </c>
      <c r="AG12" t="str">
        <f t="shared" si="2"/>
        <v>92594T</v>
      </c>
      <c r="AH12" t="str">
        <f t="shared" si="3"/>
        <v>92591T</v>
      </c>
      <c r="AI12" t="str">
        <f t="shared" si="4"/>
        <v>92593T</v>
      </c>
      <c r="AJ12">
        <f t="shared" si="5"/>
        <v>0</v>
      </c>
    </row>
    <row r="13" spans="1:36">
      <c r="A13" t="s">
        <v>854</v>
      </c>
      <c r="B13" t="s">
        <v>57</v>
      </c>
      <c r="C13" t="s">
        <v>60</v>
      </c>
      <c r="D13" s="2" t="s">
        <v>862</v>
      </c>
      <c r="E13" s="2" t="e">
        <f>VLOOKUP(C:C,#REF!,1,FALSE)</f>
        <v>#REF!</v>
      </c>
      <c r="F13" t="s">
        <v>831</v>
      </c>
      <c r="G13">
        <v>0</v>
      </c>
      <c r="H13">
        <v>1</v>
      </c>
      <c r="I13" t="s">
        <v>663</v>
      </c>
      <c r="J13">
        <v>0</v>
      </c>
      <c r="K13" t="s">
        <v>58</v>
      </c>
      <c r="L13" t="s">
        <v>573</v>
      </c>
      <c r="M13" t="s">
        <v>831</v>
      </c>
      <c r="N13" t="s">
        <v>79</v>
      </c>
      <c r="O13" t="s">
        <v>860</v>
      </c>
      <c r="P13" t="s">
        <v>830</v>
      </c>
      <c r="Q13" t="s">
        <v>62</v>
      </c>
      <c r="R13" t="s">
        <v>861</v>
      </c>
      <c r="S13" t="s">
        <v>831</v>
      </c>
      <c r="T13" t="s">
        <v>64</v>
      </c>
      <c r="U13">
        <v>0</v>
      </c>
      <c r="V13" t="s">
        <v>831</v>
      </c>
      <c r="W13" t="s">
        <v>78</v>
      </c>
      <c r="X13">
        <v>0</v>
      </c>
      <c r="Y13" t="s">
        <v>831</v>
      </c>
      <c r="Z13">
        <v>0</v>
      </c>
      <c r="AA13">
        <v>0</v>
      </c>
      <c r="AB13" t="e">
        <v>#N/A</v>
      </c>
      <c r="AC13" t="s">
        <v>663</v>
      </c>
      <c r="AE13" t="str">
        <f t="shared" si="0"/>
        <v>92590T</v>
      </c>
      <c r="AF13" t="str">
        <f t="shared" si="1"/>
        <v>92592T</v>
      </c>
      <c r="AG13" t="str">
        <f t="shared" si="2"/>
        <v>92594T</v>
      </c>
      <c r="AH13" t="str">
        <f t="shared" si="3"/>
        <v>92591T</v>
      </c>
      <c r="AI13" t="str">
        <f t="shared" si="4"/>
        <v>92593T</v>
      </c>
      <c r="AJ13">
        <f t="shared" si="5"/>
        <v>0</v>
      </c>
    </row>
    <row r="14" spans="1:36">
      <c r="A14" t="s">
        <v>854</v>
      </c>
      <c r="B14" t="s">
        <v>57</v>
      </c>
      <c r="C14" t="s">
        <v>61</v>
      </c>
      <c r="D14" s="2" t="s">
        <v>863</v>
      </c>
      <c r="E14" s="2" t="e">
        <f>VLOOKUP(C:C,#REF!,1,FALSE)</f>
        <v>#REF!</v>
      </c>
      <c r="F14" t="s">
        <v>830</v>
      </c>
      <c r="G14">
        <v>0</v>
      </c>
      <c r="H14">
        <v>1</v>
      </c>
      <c r="I14" t="s">
        <v>664</v>
      </c>
      <c r="J14">
        <v>0</v>
      </c>
      <c r="K14" t="s">
        <v>58</v>
      </c>
      <c r="L14" t="s">
        <v>573</v>
      </c>
      <c r="M14" t="s">
        <v>831</v>
      </c>
      <c r="N14" t="s">
        <v>79</v>
      </c>
      <c r="O14" t="s">
        <v>860</v>
      </c>
      <c r="P14" t="s">
        <v>830</v>
      </c>
      <c r="Q14" t="s">
        <v>62</v>
      </c>
      <c r="R14" t="s">
        <v>861</v>
      </c>
      <c r="S14" t="s">
        <v>831</v>
      </c>
      <c r="T14" t="s">
        <v>64</v>
      </c>
      <c r="U14">
        <v>0</v>
      </c>
      <c r="V14" t="s">
        <v>831</v>
      </c>
      <c r="W14" t="s">
        <v>78</v>
      </c>
      <c r="X14">
        <v>0</v>
      </c>
      <c r="Y14" t="s">
        <v>831</v>
      </c>
      <c r="Z14">
        <v>0</v>
      </c>
      <c r="AA14">
        <v>0</v>
      </c>
      <c r="AB14" t="e">
        <v>#N/A</v>
      </c>
      <c r="AC14" t="s">
        <v>664</v>
      </c>
      <c r="AE14" t="str">
        <f t="shared" si="0"/>
        <v>92590T</v>
      </c>
      <c r="AF14" t="str">
        <f t="shared" si="1"/>
        <v>92592T</v>
      </c>
      <c r="AG14" t="str">
        <f t="shared" si="2"/>
        <v>92594T</v>
      </c>
      <c r="AH14" t="str">
        <f t="shared" si="3"/>
        <v>92591T</v>
      </c>
      <c r="AI14" t="str">
        <f t="shared" si="4"/>
        <v>92593T</v>
      </c>
      <c r="AJ14">
        <f t="shared" si="5"/>
        <v>0</v>
      </c>
    </row>
    <row r="15" spans="1:36">
      <c r="A15" t="s">
        <v>854</v>
      </c>
      <c r="B15" t="s">
        <v>57</v>
      </c>
      <c r="C15" t="s">
        <v>63</v>
      </c>
      <c r="D15" s="2" t="s">
        <v>864</v>
      </c>
      <c r="E15" s="2" t="e">
        <f>VLOOKUP(C:C,#REF!,1,FALSE)</f>
        <v>#REF!</v>
      </c>
      <c r="F15" t="s">
        <v>831</v>
      </c>
      <c r="G15">
        <v>0</v>
      </c>
      <c r="H15">
        <v>1</v>
      </c>
      <c r="I15" t="s">
        <v>665</v>
      </c>
      <c r="J15">
        <v>0</v>
      </c>
      <c r="K15" t="s">
        <v>58</v>
      </c>
      <c r="L15" t="s">
        <v>573</v>
      </c>
      <c r="M15" t="s">
        <v>831</v>
      </c>
      <c r="N15" t="s">
        <v>79</v>
      </c>
      <c r="O15" t="s">
        <v>860</v>
      </c>
      <c r="P15" t="s">
        <v>830</v>
      </c>
      <c r="Q15" t="s">
        <v>62</v>
      </c>
      <c r="R15" t="s">
        <v>861</v>
      </c>
      <c r="S15" t="s">
        <v>831</v>
      </c>
      <c r="T15" t="s">
        <v>64</v>
      </c>
      <c r="U15">
        <v>0</v>
      </c>
      <c r="V15" t="s">
        <v>831</v>
      </c>
      <c r="W15" t="s">
        <v>78</v>
      </c>
      <c r="X15">
        <v>0</v>
      </c>
      <c r="Y15" t="s">
        <v>831</v>
      </c>
      <c r="Z15">
        <v>0</v>
      </c>
      <c r="AA15">
        <v>0</v>
      </c>
      <c r="AB15" t="e">
        <v>#N/A</v>
      </c>
      <c r="AC15" t="s">
        <v>665</v>
      </c>
      <c r="AE15" t="str">
        <f t="shared" si="0"/>
        <v>92590T</v>
      </c>
      <c r="AF15" t="str">
        <f t="shared" si="1"/>
        <v>92592T</v>
      </c>
      <c r="AG15" t="str">
        <f t="shared" si="2"/>
        <v>92594T</v>
      </c>
      <c r="AH15" t="str">
        <f t="shared" si="3"/>
        <v>92591T</v>
      </c>
      <c r="AI15" t="str">
        <f t="shared" si="4"/>
        <v>92593T</v>
      </c>
      <c r="AJ15">
        <f t="shared" si="5"/>
        <v>0</v>
      </c>
    </row>
    <row r="16" spans="1:36">
      <c r="A16" t="s">
        <v>854</v>
      </c>
      <c r="B16" t="s">
        <v>57</v>
      </c>
      <c r="C16">
        <v>350827</v>
      </c>
      <c r="D16" s="23" t="s">
        <v>2498</v>
      </c>
      <c r="E16" s="2" t="e">
        <f>VLOOKUP(C:C,#REF!,1,FALSE)</f>
        <v>#REF!</v>
      </c>
      <c r="F16" t="s">
        <v>831</v>
      </c>
      <c r="G16">
        <v>0</v>
      </c>
      <c r="H16">
        <v>1</v>
      </c>
      <c r="I16" t="s">
        <v>662</v>
      </c>
      <c r="J16">
        <v>0</v>
      </c>
      <c r="K16">
        <v>315856</v>
      </c>
      <c r="L16" t="s">
        <v>856</v>
      </c>
      <c r="M16" t="s">
        <v>831</v>
      </c>
      <c r="N16">
        <v>92596</v>
      </c>
      <c r="O16" t="s">
        <v>569</v>
      </c>
      <c r="P16" t="s">
        <v>831</v>
      </c>
      <c r="Q16">
        <v>92597</v>
      </c>
      <c r="R16" t="s">
        <v>570</v>
      </c>
      <c r="S16" t="s">
        <v>831</v>
      </c>
      <c r="T16">
        <v>350868</v>
      </c>
      <c r="U16" t="s">
        <v>857</v>
      </c>
      <c r="V16" t="s">
        <v>830</v>
      </c>
      <c r="W16">
        <v>92598</v>
      </c>
      <c r="X16" t="s">
        <v>571</v>
      </c>
      <c r="Y16" t="s">
        <v>831</v>
      </c>
      <c r="Z16">
        <v>92599</v>
      </c>
      <c r="AA16" t="s">
        <v>572</v>
      </c>
      <c r="AB16" t="s">
        <v>831</v>
      </c>
      <c r="AC16" t="s">
        <v>662</v>
      </c>
      <c r="AE16">
        <f t="shared" si="0"/>
        <v>315856</v>
      </c>
      <c r="AF16">
        <f t="shared" si="1"/>
        <v>92596</v>
      </c>
      <c r="AG16">
        <f t="shared" si="2"/>
        <v>92597</v>
      </c>
      <c r="AH16">
        <f t="shared" si="3"/>
        <v>350868</v>
      </c>
      <c r="AI16">
        <f t="shared" si="4"/>
        <v>92598</v>
      </c>
      <c r="AJ16">
        <f t="shared" si="5"/>
        <v>92599</v>
      </c>
    </row>
    <row r="17" spans="1:36">
      <c r="A17" t="s">
        <v>900</v>
      </c>
      <c r="B17" t="s">
        <v>57</v>
      </c>
      <c r="C17">
        <v>350837</v>
      </c>
      <c r="D17" s="23" t="s">
        <v>2499</v>
      </c>
      <c r="E17" s="2" t="e">
        <f>VLOOKUP(C:C,#REF!,1,FALSE)</f>
        <v>#REF!</v>
      </c>
      <c r="F17" t="s">
        <v>831</v>
      </c>
      <c r="G17">
        <v>0</v>
      </c>
      <c r="H17">
        <v>0</v>
      </c>
      <c r="I17" t="s">
        <v>662</v>
      </c>
      <c r="J17">
        <v>1</v>
      </c>
      <c r="K17">
        <v>315856</v>
      </c>
      <c r="L17" t="s">
        <v>856</v>
      </c>
      <c r="M17" t="s">
        <v>831</v>
      </c>
      <c r="N17">
        <v>92596</v>
      </c>
      <c r="O17" t="s">
        <v>569</v>
      </c>
      <c r="P17" t="s">
        <v>831</v>
      </c>
      <c r="Q17">
        <v>92597</v>
      </c>
      <c r="R17" t="s">
        <v>570</v>
      </c>
      <c r="S17" t="s">
        <v>831</v>
      </c>
      <c r="T17">
        <v>350868</v>
      </c>
      <c r="U17" t="s">
        <v>857</v>
      </c>
      <c r="V17" t="s">
        <v>830</v>
      </c>
      <c r="W17">
        <v>92598</v>
      </c>
      <c r="X17" t="s">
        <v>571</v>
      </c>
      <c r="Y17" t="s">
        <v>831</v>
      </c>
      <c r="Z17">
        <v>92599</v>
      </c>
      <c r="AA17" t="s">
        <v>572</v>
      </c>
      <c r="AB17" t="s">
        <v>831</v>
      </c>
      <c r="AC17" t="s">
        <v>662</v>
      </c>
      <c r="AE17">
        <f t="shared" si="0"/>
        <v>315856</v>
      </c>
      <c r="AF17">
        <f t="shared" si="1"/>
        <v>92596</v>
      </c>
      <c r="AG17">
        <f t="shared" si="2"/>
        <v>92597</v>
      </c>
      <c r="AH17">
        <f t="shared" si="3"/>
        <v>350868</v>
      </c>
      <c r="AI17">
        <f t="shared" si="4"/>
        <v>92598</v>
      </c>
      <c r="AJ17">
        <f t="shared" si="5"/>
        <v>92599</v>
      </c>
    </row>
    <row r="18" spans="1:36">
      <c r="A18" t="s">
        <v>854</v>
      </c>
      <c r="B18" t="s">
        <v>57</v>
      </c>
      <c r="C18">
        <v>350828</v>
      </c>
      <c r="D18" s="23" t="s">
        <v>2500</v>
      </c>
      <c r="E18" s="2" t="e">
        <f>VLOOKUP(C:C,#REF!,1,FALSE)</f>
        <v>#REF!</v>
      </c>
      <c r="F18" t="s">
        <v>831</v>
      </c>
      <c r="G18">
        <v>0</v>
      </c>
      <c r="H18">
        <v>1</v>
      </c>
      <c r="I18" t="s">
        <v>663</v>
      </c>
      <c r="J18">
        <v>0</v>
      </c>
      <c r="K18">
        <v>315856</v>
      </c>
      <c r="L18" t="s">
        <v>856</v>
      </c>
      <c r="M18" t="s">
        <v>831</v>
      </c>
      <c r="N18">
        <v>92596</v>
      </c>
      <c r="O18" t="s">
        <v>569</v>
      </c>
      <c r="P18" t="s">
        <v>831</v>
      </c>
      <c r="Q18">
        <v>92597</v>
      </c>
      <c r="R18" t="s">
        <v>570</v>
      </c>
      <c r="S18" t="s">
        <v>831</v>
      </c>
      <c r="T18">
        <v>350868</v>
      </c>
      <c r="U18" t="s">
        <v>857</v>
      </c>
      <c r="V18" t="s">
        <v>830</v>
      </c>
      <c r="W18">
        <v>92598</v>
      </c>
      <c r="X18" t="s">
        <v>571</v>
      </c>
      <c r="Y18" t="s">
        <v>831</v>
      </c>
      <c r="Z18">
        <v>92599</v>
      </c>
      <c r="AA18" t="s">
        <v>572</v>
      </c>
      <c r="AB18" t="s">
        <v>831</v>
      </c>
      <c r="AC18" t="s">
        <v>663</v>
      </c>
      <c r="AE18">
        <f t="shared" si="0"/>
        <v>315856</v>
      </c>
      <c r="AF18">
        <f t="shared" si="1"/>
        <v>92596</v>
      </c>
      <c r="AG18">
        <f t="shared" si="2"/>
        <v>92597</v>
      </c>
      <c r="AH18">
        <f t="shared" si="3"/>
        <v>350868</v>
      </c>
      <c r="AI18">
        <f t="shared" si="4"/>
        <v>92598</v>
      </c>
      <c r="AJ18">
        <f t="shared" si="5"/>
        <v>92599</v>
      </c>
    </row>
    <row r="19" spans="1:36">
      <c r="A19" t="s">
        <v>900</v>
      </c>
      <c r="B19" t="s">
        <v>57</v>
      </c>
      <c r="C19">
        <v>350838</v>
      </c>
      <c r="D19" s="23" t="s">
        <v>2501</v>
      </c>
      <c r="E19" s="2" t="e">
        <f>VLOOKUP(C:C,#REF!,1,FALSE)</f>
        <v>#REF!</v>
      </c>
      <c r="F19" t="s">
        <v>831</v>
      </c>
      <c r="G19">
        <v>0</v>
      </c>
      <c r="H19">
        <v>0</v>
      </c>
      <c r="I19" t="s">
        <v>663</v>
      </c>
      <c r="J19">
        <v>1</v>
      </c>
      <c r="K19">
        <v>315856</v>
      </c>
      <c r="L19" t="s">
        <v>856</v>
      </c>
      <c r="M19" t="s">
        <v>831</v>
      </c>
      <c r="N19">
        <v>92596</v>
      </c>
      <c r="O19" t="s">
        <v>569</v>
      </c>
      <c r="P19" t="s">
        <v>831</v>
      </c>
      <c r="Q19">
        <v>92597</v>
      </c>
      <c r="R19" t="s">
        <v>570</v>
      </c>
      <c r="S19" t="s">
        <v>831</v>
      </c>
      <c r="T19">
        <v>350868</v>
      </c>
      <c r="U19" t="s">
        <v>857</v>
      </c>
      <c r="V19" t="s">
        <v>830</v>
      </c>
      <c r="W19">
        <v>92598</v>
      </c>
      <c r="X19" t="s">
        <v>571</v>
      </c>
      <c r="Y19" t="s">
        <v>831</v>
      </c>
      <c r="Z19">
        <v>92599</v>
      </c>
      <c r="AA19" t="s">
        <v>572</v>
      </c>
      <c r="AB19" t="s">
        <v>831</v>
      </c>
      <c r="AC19" t="s">
        <v>663</v>
      </c>
      <c r="AE19">
        <f t="shared" si="0"/>
        <v>315856</v>
      </c>
      <c r="AF19">
        <f t="shared" si="1"/>
        <v>92596</v>
      </c>
      <c r="AG19">
        <f t="shared" si="2"/>
        <v>92597</v>
      </c>
      <c r="AH19">
        <f t="shared" si="3"/>
        <v>350868</v>
      </c>
      <c r="AI19">
        <f t="shared" si="4"/>
        <v>92598</v>
      </c>
      <c r="AJ19">
        <f t="shared" si="5"/>
        <v>92599</v>
      </c>
    </row>
    <row r="20" spans="1:36">
      <c r="A20" t="s">
        <v>854</v>
      </c>
      <c r="B20" t="s">
        <v>57</v>
      </c>
      <c r="C20">
        <v>350829</v>
      </c>
      <c r="D20" s="23" t="s">
        <v>2502</v>
      </c>
      <c r="E20" s="2" t="e">
        <f>VLOOKUP(C:C,#REF!,1,FALSE)</f>
        <v>#REF!</v>
      </c>
      <c r="F20" t="s">
        <v>831</v>
      </c>
      <c r="G20">
        <v>0</v>
      </c>
      <c r="H20">
        <v>1</v>
      </c>
      <c r="I20" t="s">
        <v>664</v>
      </c>
      <c r="J20">
        <v>0</v>
      </c>
      <c r="K20">
        <v>315856</v>
      </c>
      <c r="L20" t="s">
        <v>856</v>
      </c>
      <c r="M20" t="s">
        <v>831</v>
      </c>
      <c r="N20">
        <v>92596</v>
      </c>
      <c r="O20" t="s">
        <v>569</v>
      </c>
      <c r="P20" t="s">
        <v>831</v>
      </c>
      <c r="Q20">
        <v>92597</v>
      </c>
      <c r="R20" t="s">
        <v>570</v>
      </c>
      <c r="S20" t="s">
        <v>831</v>
      </c>
      <c r="T20">
        <v>350868</v>
      </c>
      <c r="U20" t="s">
        <v>857</v>
      </c>
      <c r="V20" t="s">
        <v>830</v>
      </c>
      <c r="W20">
        <v>92598</v>
      </c>
      <c r="X20" t="s">
        <v>571</v>
      </c>
      <c r="Y20" t="s">
        <v>831</v>
      </c>
      <c r="Z20">
        <v>92599</v>
      </c>
      <c r="AA20" t="s">
        <v>572</v>
      </c>
      <c r="AB20" t="s">
        <v>831</v>
      </c>
      <c r="AC20" t="s">
        <v>664</v>
      </c>
      <c r="AE20">
        <f t="shared" si="0"/>
        <v>315856</v>
      </c>
      <c r="AF20">
        <f t="shared" si="1"/>
        <v>92596</v>
      </c>
      <c r="AG20">
        <f t="shared" si="2"/>
        <v>92597</v>
      </c>
      <c r="AH20">
        <f t="shared" si="3"/>
        <v>350868</v>
      </c>
      <c r="AI20">
        <f t="shared" si="4"/>
        <v>92598</v>
      </c>
      <c r="AJ20">
        <f t="shared" si="5"/>
        <v>92599</v>
      </c>
    </row>
    <row r="21" spans="1:36">
      <c r="A21" t="s">
        <v>900</v>
      </c>
      <c r="B21" t="s">
        <v>57</v>
      </c>
      <c r="C21">
        <v>350839</v>
      </c>
      <c r="D21" s="23" t="s">
        <v>2503</v>
      </c>
      <c r="E21" s="2" t="e">
        <f>VLOOKUP(C:C,#REF!,1,FALSE)</f>
        <v>#REF!</v>
      </c>
      <c r="F21" t="s">
        <v>831</v>
      </c>
      <c r="G21">
        <v>0</v>
      </c>
      <c r="H21">
        <v>0</v>
      </c>
      <c r="I21" t="s">
        <v>664</v>
      </c>
      <c r="J21">
        <v>1</v>
      </c>
      <c r="K21">
        <v>315856</v>
      </c>
      <c r="L21" t="s">
        <v>856</v>
      </c>
      <c r="M21" t="s">
        <v>831</v>
      </c>
      <c r="N21">
        <v>92596</v>
      </c>
      <c r="O21" t="s">
        <v>569</v>
      </c>
      <c r="P21" t="s">
        <v>831</v>
      </c>
      <c r="Q21">
        <v>92597</v>
      </c>
      <c r="R21" t="s">
        <v>570</v>
      </c>
      <c r="S21" t="s">
        <v>831</v>
      </c>
      <c r="T21">
        <v>350868</v>
      </c>
      <c r="U21" t="s">
        <v>857</v>
      </c>
      <c r="V21" t="s">
        <v>830</v>
      </c>
      <c r="W21">
        <v>92598</v>
      </c>
      <c r="X21" t="s">
        <v>571</v>
      </c>
      <c r="Y21" t="s">
        <v>831</v>
      </c>
      <c r="Z21">
        <v>92599</v>
      </c>
      <c r="AA21" t="s">
        <v>572</v>
      </c>
      <c r="AB21" t="s">
        <v>831</v>
      </c>
      <c r="AC21" t="s">
        <v>664</v>
      </c>
      <c r="AE21">
        <f t="shared" si="0"/>
        <v>315856</v>
      </c>
      <c r="AF21">
        <f t="shared" si="1"/>
        <v>92596</v>
      </c>
      <c r="AG21">
        <f t="shared" si="2"/>
        <v>92597</v>
      </c>
      <c r="AH21">
        <f t="shared" si="3"/>
        <v>350868</v>
      </c>
      <c r="AI21">
        <f t="shared" si="4"/>
        <v>92598</v>
      </c>
      <c r="AJ21">
        <f t="shared" si="5"/>
        <v>92599</v>
      </c>
    </row>
    <row r="22" spans="1:36">
      <c r="A22" t="s">
        <v>854</v>
      </c>
      <c r="B22" t="s">
        <v>57</v>
      </c>
      <c r="C22">
        <v>350854</v>
      </c>
      <c r="D22" s="23" t="s">
        <v>2504</v>
      </c>
      <c r="E22" s="2" t="e">
        <f>VLOOKUP(C:C,#REF!,1,FALSE)</f>
        <v>#REF!</v>
      </c>
      <c r="F22" t="s">
        <v>832</v>
      </c>
      <c r="G22">
        <v>0</v>
      </c>
      <c r="H22">
        <v>1</v>
      </c>
      <c r="I22" t="s">
        <v>665</v>
      </c>
      <c r="J22">
        <v>0</v>
      </c>
      <c r="K22">
        <v>315856</v>
      </c>
      <c r="L22" t="s">
        <v>856</v>
      </c>
      <c r="M22" t="s">
        <v>831</v>
      </c>
      <c r="N22">
        <v>92596</v>
      </c>
      <c r="O22" t="s">
        <v>569</v>
      </c>
      <c r="P22" t="s">
        <v>831</v>
      </c>
      <c r="Q22">
        <v>92597</v>
      </c>
      <c r="R22" t="s">
        <v>570</v>
      </c>
      <c r="S22" t="s">
        <v>831</v>
      </c>
      <c r="T22">
        <v>350868</v>
      </c>
      <c r="U22" t="s">
        <v>857</v>
      </c>
      <c r="V22" t="s">
        <v>830</v>
      </c>
      <c r="W22">
        <v>92598</v>
      </c>
      <c r="X22" t="s">
        <v>571</v>
      </c>
      <c r="Y22" t="s">
        <v>831</v>
      </c>
      <c r="Z22">
        <v>92599</v>
      </c>
      <c r="AA22" t="s">
        <v>572</v>
      </c>
      <c r="AB22" t="s">
        <v>831</v>
      </c>
      <c r="AC22" t="s">
        <v>665</v>
      </c>
      <c r="AE22">
        <f t="shared" si="0"/>
        <v>315856</v>
      </c>
      <c r="AF22">
        <f t="shared" si="1"/>
        <v>92596</v>
      </c>
      <c r="AG22">
        <f t="shared" si="2"/>
        <v>92597</v>
      </c>
      <c r="AH22">
        <f t="shared" si="3"/>
        <v>350868</v>
      </c>
      <c r="AI22">
        <f t="shared" si="4"/>
        <v>92598</v>
      </c>
      <c r="AJ22">
        <f t="shared" si="5"/>
        <v>92599</v>
      </c>
    </row>
    <row r="23" spans="1:36">
      <c r="A23" t="s">
        <v>900</v>
      </c>
      <c r="B23" t="s">
        <v>57</v>
      </c>
      <c r="C23">
        <v>350856</v>
      </c>
      <c r="D23" s="23" t="s">
        <v>2505</v>
      </c>
      <c r="E23" s="2" t="e">
        <f>VLOOKUP(C:C,#REF!,1,FALSE)</f>
        <v>#REF!</v>
      </c>
      <c r="F23" t="s">
        <v>832</v>
      </c>
      <c r="G23">
        <v>0</v>
      </c>
      <c r="H23">
        <v>0</v>
      </c>
      <c r="I23" t="s">
        <v>665</v>
      </c>
      <c r="J23">
        <v>1</v>
      </c>
      <c r="K23">
        <v>315856</v>
      </c>
      <c r="L23" t="s">
        <v>856</v>
      </c>
      <c r="M23" t="s">
        <v>831</v>
      </c>
      <c r="N23">
        <v>92596</v>
      </c>
      <c r="O23" t="s">
        <v>569</v>
      </c>
      <c r="P23" t="s">
        <v>831</v>
      </c>
      <c r="Q23">
        <v>92597</v>
      </c>
      <c r="R23" t="s">
        <v>570</v>
      </c>
      <c r="S23" t="s">
        <v>831</v>
      </c>
      <c r="T23">
        <v>350868</v>
      </c>
      <c r="U23" t="s">
        <v>857</v>
      </c>
      <c r="V23" t="s">
        <v>830</v>
      </c>
      <c r="W23">
        <v>92598</v>
      </c>
      <c r="X23" t="s">
        <v>571</v>
      </c>
      <c r="Y23" t="s">
        <v>831</v>
      </c>
      <c r="Z23">
        <v>92599</v>
      </c>
      <c r="AA23" t="s">
        <v>572</v>
      </c>
      <c r="AB23" t="s">
        <v>831</v>
      </c>
      <c r="AC23" t="s">
        <v>665</v>
      </c>
      <c r="AE23">
        <f t="shared" si="0"/>
        <v>315856</v>
      </c>
      <c r="AF23">
        <f t="shared" si="1"/>
        <v>92596</v>
      </c>
      <c r="AG23">
        <f t="shared" si="2"/>
        <v>92597</v>
      </c>
      <c r="AH23">
        <f t="shared" si="3"/>
        <v>350868</v>
      </c>
      <c r="AI23">
        <f t="shared" si="4"/>
        <v>92598</v>
      </c>
      <c r="AJ23">
        <f t="shared" si="5"/>
        <v>92599</v>
      </c>
    </row>
    <row r="24" spans="1:36">
      <c r="A24" t="s">
        <v>578</v>
      </c>
      <c r="B24" t="s">
        <v>578</v>
      </c>
      <c r="C24">
        <v>308058</v>
      </c>
      <c r="D24" s="2" t="s">
        <v>865</v>
      </c>
      <c r="E24" s="2" t="e">
        <f>VLOOKUP(C:C,#REF!,1,FALSE)</f>
        <v>#REF!</v>
      </c>
      <c r="F24" t="s">
        <v>830</v>
      </c>
      <c r="G24">
        <v>0</v>
      </c>
      <c r="H24">
        <v>1</v>
      </c>
      <c r="I24" t="s">
        <v>662</v>
      </c>
      <c r="J24">
        <v>0</v>
      </c>
      <c r="K24">
        <v>106403</v>
      </c>
      <c r="L24" t="s">
        <v>866</v>
      </c>
      <c r="M24" t="s">
        <v>830</v>
      </c>
      <c r="N24">
        <v>119240</v>
      </c>
      <c r="O24" t="s">
        <v>867</v>
      </c>
      <c r="P24" t="s">
        <v>830</v>
      </c>
      <c r="Q24">
        <v>136276</v>
      </c>
      <c r="R24" t="s">
        <v>868</v>
      </c>
      <c r="S24" t="s">
        <v>830</v>
      </c>
      <c r="T24">
        <v>0</v>
      </c>
      <c r="U24">
        <v>0</v>
      </c>
      <c r="V24" t="e">
        <v>#N/A</v>
      </c>
      <c r="W24">
        <v>0</v>
      </c>
      <c r="X24">
        <v>0</v>
      </c>
      <c r="Y24" t="e">
        <v>#N/A</v>
      </c>
      <c r="Z24">
        <v>0</v>
      </c>
      <c r="AA24">
        <v>0</v>
      </c>
      <c r="AB24" t="e">
        <v>#N/A</v>
      </c>
      <c r="AC24" t="s">
        <v>662</v>
      </c>
      <c r="AE24">
        <f t="shared" si="0"/>
        <v>106403</v>
      </c>
      <c r="AF24">
        <f t="shared" si="1"/>
        <v>119240</v>
      </c>
      <c r="AG24">
        <f t="shared" si="2"/>
        <v>136276</v>
      </c>
      <c r="AH24">
        <f t="shared" si="3"/>
        <v>0</v>
      </c>
      <c r="AI24">
        <f t="shared" si="4"/>
        <v>0</v>
      </c>
      <c r="AJ24">
        <f t="shared" si="5"/>
        <v>0</v>
      </c>
    </row>
    <row r="25" spans="1:36">
      <c r="A25" t="s">
        <v>578</v>
      </c>
      <c r="B25" t="s">
        <v>578</v>
      </c>
      <c r="C25">
        <v>308454</v>
      </c>
      <c r="D25" s="2" t="s">
        <v>869</v>
      </c>
      <c r="E25" s="2" t="e">
        <f>VLOOKUP(C:C,#REF!,1,FALSE)</f>
        <v>#REF!</v>
      </c>
      <c r="F25" t="s">
        <v>830</v>
      </c>
      <c r="G25">
        <v>0</v>
      </c>
      <c r="H25">
        <v>1</v>
      </c>
      <c r="I25" t="s">
        <v>663</v>
      </c>
      <c r="J25">
        <v>0</v>
      </c>
      <c r="K25">
        <v>106403</v>
      </c>
      <c r="L25" t="s">
        <v>866</v>
      </c>
      <c r="M25" t="s">
        <v>830</v>
      </c>
      <c r="N25">
        <v>119240</v>
      </c>
      <c r="O25" t="s">
        <v>867</v>
      </c>
      <c r="P25" t="s">
        <v>830</v>
      </c>
      <c r="Q25">
        <v>136276</v>
      </c>
      <c r="R25" t="s">
        <v>868</v>
      </c>
      <c r="S25" t="s">
        <v>830</v>
      </c>
      <c r="T25">
        <v>0</v>
      </c>
      <c r="U25">
        <v>0</v>
      </c>
      <c r="V25" t="e">
        <v>#N/A</v>
      </c>
      <c r="W25">
        <v>0</v>
      </c>
      <c r="X25">
        <v>0</v>
      </c>
      <c r="Y25" t="e">
        <v>#N/A</v>
      </c>
      <c r="Z25">
        <v>0</v>
      </c>
      <c r="AA25">
        <v>0</v>
      </c>
      <c r="AB25" t="e">
        <v>#N/A</v>
      </c>
      <c r="AC25" t="s">
        <v>663</v>
      </c>
      <c r="AE25">
        <f t="shared" si="0"/>
        <v>106403</v>
      </c>
      <c r="AF25">
        <f t="shared" si="1"/>
        <v>119240</v>
      </c>
      <c r="AG25">
        <f t="shared" si="2"/>
        <v>136276</v>
      </c>
      <c r="AH25">
        <f t="shared" si="3"/>
        <v>0</v>
      </c>
      <c r="AI25">
        <f t="shared" si="4"/>
        <v>0</v>
      </c>
      <c r="AJ25">
        <f t="shared" si="5"/>
        <v>0</v>
      </c>
    </row>
    <row r="26" spans="1:36">
      <c r="A26" t="s">
        <v>578</v>
      </c>
      <c r="B26" t="s">
        <v>578</v>
      </c>
      <c r="C26">
        <v>308455</v>
      </c>
      <c r="D26" s="2" t="s">
        <v>870</v>
      </c>
      <c r="E26" s="2" t="e">
        <f>VLOOKUP(C:C,#REF!,1,FALSE)</f>
        <v>#REF!</v>
      </c>
      <c r="F26" t="s">
        <v>830</v>
      </c>
      <c r="G26">
        <v>0</v>
      </c>
      <c r="H26">
        <v>1</v>
      </c>
      <c r="I26" t="s">
        <v>664</v>
      </c>
      <c r="J26">
        <v>0</v>
      </c>
      <c r="K26">
        <v>106403</v>
      </c>
      <c r="L26" t="s">
        <v>866</v>
      </c>
      <c r="M26" t="s">
        <v>830</v>
      </c>
      <c r="N26">
        <v>119240</v>
      </c>
      <c r="O26" t="s">
        <v>867</v>
      </c>
      <c r="P26" t="s">
        <v>830</v>
      </c>
      <c r="Q26">
        <v>136276</v>
      </c>
      <c r="R26" t="s">
        <v>868</v>
      </c>
      <c r="S26" t="s">
        <v>830</v>
      </c>
      <c r="T26">
        <v>0</v>
      </c>
      <c r="U26">
        <v>0</v>
      </c>
      <c r="V26" t="e">
        <v>#N/A</v>
      </c>
      <c r="W26">
        <v>0</v>
      </c>
      <c r="X26">
        <v>0</v>
      </c>
      <c r="Y26" t="e">
        <v>#N/A</v>
      </c>
      <c r="Z26">
        <v>0</v>
      </c>
      <c r="AA26">
        <v>0</v>
      </c>
      <c r="AB26" t="e">
        <v>#N/A</v>
      </c>
      <c r="AC26" t="s">
        <v>664</v>
      </c>
      <c r="AE26">
        <f t="shared" si="0"/>
        <v>106403</v>
      </c>
      <c r="AF26">
        <f t="shared" si="1"/>
        <v>119240</v>
      </c>
      <c r="AG26">
        <f t="shared" si="2"/>
        <v>136276</v>
      </c>
      <c r="AH26">
        <f t="shared" si="3"/>
        <v>0</v>
      </c>
      <c r="AI26">
        <f t="shared" si="4"/>
        <v>0</v>
      </c>
      <c r="AJ26">
        <f t="shared" si="5"/>
        <v>0</v>
      </c>
    </row>
    <row r="27" spans="1:36">
      <c r="A27" t="s">
        <v>578</v>
      </c>
      <c r="B27" t="s">
        <v>578</v>
      </c>
      <c r="C27">
        <v>336503</v>
      </c>
      <c r="D27" s="2" t="s">
        <v>871</v>
      </c>
      <c r="E27" s="2" t="e">
        <f>VLOOKUP(C:C,#REF!,1,FALSE)</f>
        <v>#REF!</v>
      </c>
      <c r="F27" t="s">
        <v>830</v>
      </c>
      <c r="G27">
        <v>0</v>
      </c>
      <c r="H27">
        <v>1</v>
      </c>
      <c r="I27" t="s">
        <v>662</v>
      </c>
      <c r="J27">
        <v>0</v>
      </c>
      <c r="K27">
        <v>106403</v>
      </c>
      <c r="L27" t="s">
        <v>866</v>
      </c>
      <c r="M27" t="s">
        <v>830</v>
      </c>
      <c r="N27">
        <v>119240</v>
      </c>
      <c r="O27" t="s">
        <v>867</v>
      </c>
      <c r="P27" t="s">
        <v>830</v>
      </c>
      <c r="Q27">
        <v>136276</v>
      </c>
      <c r="R27" t="s">
        <v>868</v>
      </c>
      <c r="S27" t="s">
        <v>830</v>
      </c>
      <c r="T27">
        <v>0</v>
      </c>
      <c r="U27">
        <v>0</v>
      </c>
      <c r="V27" t="e">
        <v>#N/A</v>
      </c>
      <c r="W27">
        <v>0</v>
      </c>
      <c r="X27">
        <v>0</v>
      </c>
      <c r="Y27" t="e">
        <v>#N/A</v>
      </c>
      <c r="Z27">
        <v>0</v>
      </c>
      <c r="AA27">
        <v>0</v>
      </c>
      <c r="AB27" t="e">
        <v>#N/A</v>
      </c>
      <c r="AC27" t="s">
        <v>666</v>
      </c>
      <c r="AE27">
        <f t="shared" si="0"/>
        <v>106403</v>
      </c>
      <c r="AF27">
        <f t="shared" si="1"/>
        <v>119240</v>
      </c>
      <c r="AG27">
        <f t="shared" si="2"/>
        <v>136276</v>
      </c>
      <c r="AH27">
        <f t="shared" si="3"/>
        <v>0</v>
      </c>
      <c r="AI27">
        <f t="shared" si="4"/>
        <v>0</v>
      </c>
      <c r="AJ27">
        <f t="shared" si="5"/>
        <v>0</v>
      </c>
    </row>
    <row r="28" spans="1:36">
      <c r="A28" t="s">
        <v>578</v>
      </c>
      <c r="B28" t="s">
        <v>578</v>
      </c>
      <c r="C28">
        <v>336506</v>
      </c>
      <c r="D28" s="24" t="s">
        <v>872</v>
      </c>
      <c r="E28" s="2" t="e">
        <f>VLOOKUP(C:C,#REF!,1,FALSE)</f>
        <v>#REF!</v>
      </c>
      <c r="F28" t="s">
        <v>830</v>
      </c>
      <c r="G28">
        <v>0</v>
      </c>
      <c r="H28">
        <v>1</v>
      </c>
      <c r="I28" t="s">
        <v>663</v>
      </c>
      <c r="J28">
        <v>0</v>
      </c>
      <c r="K28">
        <v>106403</v>
      </c>
      <c r="L28" t="s">
        <v>866</v>
      </c>
      <c r="M28" t="s">
        <v>830</v>
      </c>
      <c r="N28">
        <v>119240</v>
      </c>
      <c r="O28" t="s">
        <v>867</v>
      </c>
      <c r="P28" t="s">
        <v>830</v>
      </c>
      <c r="Q28">
        <v>136276</v>
      </c>
      <c r="R28" t="s">
        <v>868</v>
      </c>
      <c r="S28" t="s">
        <v>830</v>
      </c>
      <c r="T28">
        <v>0</v>
      </c>
      <c r="U28">
        <v>0</v>
      </c>
      <c r="V28" t="e">
        <v>#N/A</v>
      </c>
      <c r="W28">
        <v>0</v>
      </c>
      <c r="X28">
        <v>0</v>
      </c>
      <c r="Y28" t="e">
        <v>#N/A</v>
      </c>
      <c r="Z28">
        <v>0</v>
      </c>
      <c r="AA28">
        <v>0</v>
      </c>
      <c r="AB28" t="e">
        <v>#N/A</v>
      </c>
      <c r="AC28" t="s">
        <v>662</v>
      </c>
      <c r="AE28">
        <f t="shared" si="0"/>
        <v>106403</v>
      </c>
      <c r="AF28">
        <f t="shared" si="1"/>
        <v>119240</v>
      </c>
      <c r="AG28">
        <f t="shared" si="2"/>
        <v>136276</v>
      </c>
      <c r="AH28">
        <f t="shared" si="3"/>
        <v>0</v>
      </c>
      <c r="AI28">
        <f t="shared" si="4"/>
        <v>0</v>
      </c>
      <c r="AJ28">
        <f t="shared" si="5"/>
        <v>0</v>
      </c>
    </row>
    <row r="29" spans="1:36">
      <c r="A29" t="s">
        <v>578</v>
      </c>
      <c r="B29" t="s">
        <v>578</v>
      </c>
      <c r="C29">
        <v>346823</v>
      </c>
      <c r="D29" s="24" t="s">
        <v>873</v>
      </c>
      <c r="E29" s="2" t="e">
        <f>VLOOKUP(C:C,#REF!,1,FALSE)</f>
        <v>#REF!</v>
      </c>
      <c r="F29" t="s">
        <v>830</v>
      </c>
      <c r="G29">
        <v>0</v>
      </c>
      <c r="H29">
        <v>0</v>
      </c>
      <c r="I29" t="s">
        <v>664</v>
      </c>
      <c r="J29">
        <v>1</v>
      </c>
      <c r="K29">
        <v>106403</v>
      </c>
      <c r="L29" t="s">
        <v>866</v>
      </c>
      <c r="M29" t="s">
        <v>830</v>
      </c>
      <c r="N29">
        <v>119240</v>
      </c>
      <c r="O29" t="s">
        <v>867</v>
      </c>
      <c r="P29" t="s">
        <v>830</v>
      </c>
      <c r="Q29">
        <v>136276</v>
      </c>
      <c r="R29" t="s">
        <v>868</v>
      </c>
      <c r="S29" t="s">
        <v>830</v>
      </c>
      <c r="T29">
        <v>0</v>
      </c>
      <c r="U29">
        <v>0</v>
      </c>
      <c r="V29" t="e">
        <v>#N/A</v>
      </c>
      <c r="W29">
        <v>0</v>
      </c>
      <c r="X29">
        <v>0</v>
      </c>
      <c r="Y29" t="e">
        <v>#N/A</v>
      </c>
      <c r="Z29">
        <v>0</v>
      </c>
      <c r="AA29">
        <v>0</v>
      </c>
      <c r="AB29" t="e">
        <v>#N/A</v>
      </c>
      <c r="AC29" t="s">
        <v>662</v>
      </c>
      <c r="AE29">
        <f t="shared" si="0"/>
        <v>106403</v>
      </c>
      <c r="AF29">
        <f t="shared" si="1"/>
        <v>119240</v>
      </c>
      <c r="AG29">
        <f t="shared" si="2"/>
        <v>136276</v>
      </c>
      <c r="AH29">
        <f t="shared" si="3"/>
        <v>0</v>
      </c>
      <c r="AI29">
        <f t="shared" si="4"/>
        <v>0</v>
      </c>
      <c r="AJ29">
        <f t="shared" si="5"/>
        <v>0</v>
      </c>
    </row>
    <row r="30" spans="1:36">
      <c r="A30" t="s">
        <v>578</v>
      </c>
      <c r="B30" t="s">
        <v>578</v>
      </c>
      <c r="C30">
        <v>300279</v>
      </c>
      <c r="D30" s="24" t="s">
        <v>874</v>
      </c>
      <c r="E30" s="2" t="e">
        <f>VLOOKUP(C:C,#REF!,1,FALSE)</f>
        <v>#REF!</v>
      </c>
      <c r="F30" t="s">
        <v>830</v>
      </c>
      <c r="G30">
        <v>0</v>
      </c>
      <c r="H30">
        <v>1</v>
      </c>
      <c r="I30" t="s">
        <v>662</v>
      </c>
      <c r="J30">
        <v>0</v>
      </c>
      <c r="K30">
        <v>106403</v>
      </c>
      <c r="L30" t="s">
        <v>866</v>
      </c>
      <c r="M30" t="s">
        <v>830</v>
      </c>
      <c r="N30">
        <v>119240</v>
      </c>
      <c r="O30" t="s">
        <v>867</v>
      </c>
      <c r="P30" t="s">
        <v>830</v>
      </c>
      <c r="Q30">
        <v>136276</v>
      </c>
      <c r="R30" t="s">
        <v>868</v>
      </c>
      <c r="S30" t="s">
        <v>830</v>
      </c>
      <c r="T30">
        <v>0</v>
      </c>
      <c r="U30">
        <v>0</v>
      </c>
      <c r="V30" t="e">
        <v>#N/A</v>
      </c>
      <c r="W30">
        <v>0</v>
      </c>
      <c r="X30">
        <v>0</v>
      </c>
      <c r="Y30" t="e">
        <v>#N/A</v>
      </c>
      <c r="Z30">
        <v>0</v>
      </c>
      <c r="AA30">
        <v>0</v>
      </c>
      <c r="AB30" t="e">
        <v>#N/A</v>
      </c>
      <c r="AC30" t="s">
        <v>662</v>
      </c>
      <c r="AE30">
        <f t="shared" si="0"/>
        <v>106403</v>
      </c>
      <c r="AF30">
        <f t="shared" si="1"/>
        <v>119240</v>
      </c>
      <c r="AG30">
        <f t="shared" si="2"/>
        <v>136276</v>
      </c>
      <c r="AH30">
        <f t="shared" si="3"/>
        <v>0</v>
      </c>
      <c r="AI30">
        <f t="shared" si="4"/>
        <v>0</v>
      </c>
      <c r="AJ30">
        <f t="shared" si="5"/>
        <v>0</v>
      </c>
    </row>
    <row r="31" spans="1:36">
      <c r="A31" t="s">
        <v>578</v>
      </c>
      <c r="B31" t="s">
        <v>578</v>
      </c>
      <c r="C31">
        <v>300285</v>
      </c>
      <c r="D31" s="24" t="s">
        <v>875</v>
      </c>
      <c r="E31" s="2" t="e">
        <f>VLOOKUP(C:C,#REF!,1,FALSE)</f>
        <v>#REF!</v>
      </c>
      <c r="F31" t="s">
        <v>830</v>
      </c>
      <c r="G31">
        <v>1</v>
      </c>
      <c r="H31">
        <v>0</v>
      </c>
      <c r="I31" t="s">
        <v>662</v>
      </c>
      <c r="J31">
        <v>1</v>
      </c>
      <c r="K31">
        <v>106403</v>
      </c>
      <c r="L31" t="s">
        <v>866</v>
      </c>
      <c r="M31" t="s">
        <v>830</v>
      </c>
      <c r="N31">
        <v>119240</v>
      </c>
      <c r="O31" t="s">
        <v>867</v>
      </c>
      <c r="P31" t="s">
        <v>830</v>
      </c>
      <c r="Q31">
        <v>136276</v>
      </c>
      <c r="R31" t="s">
        <v>868</v>
      </c>
      <c r="S31" t="s">
        <v>830</v>
      </c>
      <c r="T31">
        <v>0</v>
      </c>
      <c r="U31">
        <v>0</v>
      </c>
      <c r="V31" t="e">
        <v>#N/A</v>
      </c>
      <c r="W31">
        <v>0</v>
      </c>
      <c r="X31">
        <v>0</v>
      </c>
      <c r="Y31" t="e">
        <v>#N/A</v>
      </c>
      <c r="Z31">
        <v>0</v>
      </c>
      <c r="AA31">
        <v>0</v>
      </c>
      <c r="AB31" t="e">
        <v>#N/A</v>
      </c>
      <c r="AC31" t="s">
        <v>664</v>
      </c>
      <c r="AE31">
        <f t="shared" si="0"/>
        <v>106403</v>
      </c>
      <c r="AF31">
        <f t="shared" si="1"/>
        <v>119240</v>
      </c>
      <c r="AG31">
        <f t="shared" si="2"/>
        <v>136276</v>
      </c>
      <c r="AH31">
        <f t="shared" si="3"/>
        <v>0</v>
      </c>
      <c r="AI31">
        <f t="shared" si="4"/>
        <v>0</v>
      </c>
      <c r="AJ31">
        <f t="shared" si="5"/>
        <v>0</v>
      </c>
    </row>
    <row r="32" spans="1:36">
      <c r="A32" t="s">
        <v>2</v>
      </c>
      <c r="B32" t="s">
        <v>2</v>
      </c>
      <c r="C32">
        <v>12002</v>
      </c>
      <c r="D32" s="24" t="s">
        <v>876</v>
      </c>
      <c r="E32" s="2" t="e">
        <f>VLOOKUP(C:C,#REF!,1,FALSE)</f>
        <v>#REF!</v>
      </c>
      <c r="F32" t="s">
        <v>831</v>
      </c>
      <c r="G32">
        <v>0</v>
      </c>
      <c r="H32">
        <v>0</v>
      </c>
      <c r="I32" t="s">
        <v>662</v>
      </c>
      <c r="J32">
        <v>0</v>
      </c>
      <c r="K32">
        <v>12306</v>
      </c>
      <c r="L32" t="s">
        <v>567</v>
      </c>
      <c r="M32" t="s">
        <v>831</v>
      </c>
      <c r="N32">
        <v>12318</v>
      </c>
      <c r="O32" t="s">
        <v>568</v>
      </c>
      <c r="P32" t="s">
        <v>831</v>
      </c>
      <c r="Q32">
        <v>0</v>
      </c>
      <c r="R32" t="e">
        <v>#N/A</v>
      </c>
      <c r="S32" t="e">
        <v>#N/A</v>
      </c>
      <c r="T32">
        <v>0</v>
      </c>
      <c r="U32">
        <v>0</v>
      </c>
      <c r="V32" t="e">
        <v>#N/A</v>
      </c>
      <c r="W32">
        <v>0</v>
      </c>
      <c r="X32">
        <v>0</v>
      </c>
      <c r="Y32" t="e">
        <v>#N/A</v>
      </c>
      <c r="Z32">
        <v>0</v>
      </c>
      <c r="AA32">
        <v>0</v>
      </c>
      <c r="AB32" t="e">
        <v>#N/A</v>
      </c>
      <c r="AC32" t="s">
        <v>662</v>
      </c>
      <c r="AE32">
        <f t="shared" si="0"/>
        <v>12306</v>
      </c>
      <c r="AF32">
        <f t="shared" si="1"/>
        <v>12318</v>
      </c>
      <c r="AG32">
        <f t="shared" si="2"/>
        <v>0</v>
      </c>
      <c r="AH32">
        <f t="shared" si="3"/>
        <v>0</v>
      </c>
      <c r="AI32">
        <f t="shared" si="4"/>
        <v>0</v>
      </c>
      <c r="AJ32">
        <f t="shared" si="5"/>
        <v>0</v>
      </c>
    </row>
    <row r="33" spans="1:36">
      <c r="A33" t="s">
        <v>2</v>
      </c>
      <c r="B33" t="s">
        <v>2</v>
      </c>
      <c r="C33">
        <v>12005</v>
      </c>
      <c r="D33" s="24" t="s">
        <v>877</v>
      </c>
      <c r="E33" s="2" t="e">
        <f>VLOOKUP(C:C,#REF!,1,FALSE)</f>
        <v>#REF!</v>
      </c>
      <c r="F33" t="s">
        <v>831</v>
      </c>
      <c r="G33">
        <v>0</v>
      </c>
      <c r="H33">
        <v>0</v>
      </c>
      <c r="I33" t="s">
        <v>662</v>
      </c>
      <c r="J33">
        <v>0</v>
      </c>
      <c r="K33">
        <v>12306</v>
      </c>
      <c r="L33" t="s">
        <v>567</v>
      </c>
      <c r="M33" t="s">
        <v>831</v>
      </c>
      <c r="N33">
        <v>12318</v>
      </c>
      <c r="O33" t="s">
        <v>568</v>
      </c>
      <c r="P33" t="s">
        <v>831</v>
      </c>
      <c r="Q33">
        <v>0</v>
      </c>
      <c r="R33" t="e">
        <v>#N/A</v>
      </c>
      <c r="S33" t="e">
        <v>#N/A</v>
      </c>
      <c r="T33">
        <v>0</v>
      </c>
      <c r="U33">
        <v>0</v>
      </c>
      <c r="V33" t="e">
        <v>#N/A</v>
      </c>
      <c r="W33">
        <v>0</v>
      </c>
      <c r="X33">
        <v>0</v>
      </c>
      <c r="Y33" t="e">
        <v>#N/A</v>
      </c>
      <c r="Z33">
        <v>0</v>
      </c>
      <c r="AA33">
        <v>0</v>
      </c>
      <c r="AB33" t="e">
        <v>#N/A</v>
      </c>
      <c r="AC33" t="s">
        <v>663</v>
      </c>
      <c r="AE33">
        <f t="shared" si="0"/>
        <v>12306</v>
      </c>
      <c r="AF33">
        <f t="shared" si="1"/>
        <v>12318</v>
      </c>
      <c r="AG33">
        <f t="shared" si="2"/>
        <v>0</v>
      </c>
      <c r="AH33">
        <f t="shared" si="3"/>
        <v>0</v>
      </c>
      <c r="AI33">
        <f t="shared" si="4"/>
        <v>0</v>
      </c>
      <c r="AJ33">
        <f t="shared" si="5"/>
        <v>0</v>
      </c>
    </row>
    <row r="34" spans="1:36">
      <c r="A34" t="s">
        <v>2</v>
      </c>
      <c r="B34" t="s">
        <v>2</v>
      </c>
      <c r="C34">
        <v>12008</v>
      </c>
      <c r="D34" s="25" t="s">
        <v>878</v>
      </c>
      <c r="E34" s="2" t="e">
        <f>VLOOKUP(C:C,#REF!,1,FALSE)</f>
        <v>#REF!</v>
      </c>
      <c r="F34" t="s">
        <v>831</v>
      </c>
      <c r="G34">
        <v>0</v>
      </c>
      <c r="H34">
        <v>0</v>
      </c>
      <c r="I34" t="s">
        <v>664</v>
      </c>
      <c r="J34">
        <v>0</v>
      </c>
      <c r="K34">
        <v>12306</v>
      </c>
      <c r="L34" t="s">
        <v>567</v>
      </c>
      <c r="M34" t="s">
        <v>831</v>
      </c>
      <c r="N34">
        <v>12318</v>
      </c>
      <c r="O34" t="s">
        <v>568</v>
      </c>
      <c r="P34" t="s">
        <v>831</v>
      </c>
      <c r="Q34">
        <v>0</v>
      </c>
      <c r="R34" t="e">
        <v>#N/A</v>
      </c>
      <c r="S34" t="e">
        <v>#N/A</v>
      </c>
      <c r="T34">
        <v>0</v>
      </c>
      <c r="U34">
        <v>0</v>
      </c>
      <c r="V34" t="e">
        <v>#N/A</v>
      </c>
      <c r="W34">
        <v>0</v>
      </c>
      <c r="X34">
        <v>0</v>
      </c>
      <c r="Y34" t="e">
        <v>#N/A</v>
      </c>
      <c r="Z34">
        <v>0</v>
      </c>
      <c r="AA34">
        <v>0</v>
      </c>
      <c r="AB34" t="e">
        <v>#N/A</v>
      </c>
      <c r="AC34" t="s">
        <v>664</v>
      </c>
      <c r="AE34">
        <f t="shared" si="0"/>
        <v>12306</v>
      </c>
      <c r="AF34">
        <f t="shared" si="1"/>
        <v>12318</v>
      </c>
      <c r="AG34">
        <f t="shared" si="2"/>
        <v>0</v>
      </c>
      <c r="AH34">
        <f t="shared" si="3"/>
        <v>0</v>
      </c>
      <c r="AI34">
        <f t="shared" si="4"/>
        <v>0</v>
      </c>
      <c r="AJ34">
        <f t="shared" si="5"/>
        <v>0</v>
      </c>
    </row>
    <row r="35" spans="1:36">
      <c r="A35" t="s">
        <v>2</v>
      </c>
      <c r="B35" t="s">
        <v>2</v>
      </c>
      <c r="C35">
        <v>12047</v>
      </c>
      <c r="D35" s="25" t="s">
        <v>879</v>
      </c>
      <c r="E35" s="2" t="e">
        <f>VLOOKUP(C:C,#REF!,1,FALSE)</f>
        <v>#REF!</v>
      </c>
      <c r="F35" t="s">
        <v>831</v>
      </c>
      <c r="G35">
        <v>0</v>
      </c>
      <c r="H35">
        <v>1</v>
      </c>
      <c r="I35" t="s">
        <v>662</v>
      </c>
      <c r="J35">
        <v>0</v>
      </c>
      <c r="K35">
        <v>12306</v>
      </c>
      <c r="L35" t="s">
        <v>567</v>
      </c>
      <c r="M35" t="s">
        <v>831</v>
      </c>
      <c r="N35">
        <v>12318</v>
      </c>
      <c r="O35" t="s">
        <v>568</v>
      </c>
      <c r="P35" t="s">
        <v>831</v>
      </c>
      <c r="Q35">
        <v>0</v>
      </c>
      <c r="R35" t="e">
        <v>#N/A</v>
      </c>
      <c r="S35" t="e">
        <v>#N/A</v>
      </c>
      <c r="T35">
        <v>0</v>
      </c>
      <c r="U35">
        <v>0</v>
      </c>
      <c r="V35" t="e">
        <v>#N/A</v>
      </c>
      <c r="W35">
        <v>0</v>
      </c>
      <c r="X35">
        <v>0</v>
      </c>
      <c r="Y35" t="e">
        <v>#N/A</v>
      </c>
      <c r="Z35">
        <v>0</v>
      </c>
      <c r="AA35">
        <v>0</v>
      </c>
      <c r="AB35" t="e">
        <v>#N/A</v>
      </c>
      <c r="AC35" t="s">
        <v>662</v>
      </c>
      <c r="AE35">
        <f t="shared" si="0"/>
        <v>12306</v>
      </c>
      <c r="AF35">
        <f t="shared" si="1"/>
        <v>12318</v>
      </c>
      <c r="AG35">
        <f t="shared" si="2"/>
        <v>0</v>
      </c>
      <c r="AH35">
        <f t="shared" si="3"/>
        <v>0</v>
      </c>
      <c r="AI35">
        <f t="shared" si="4"/>
        <v>0</v>
      </c>
      <c r="AJ35">
        <f t="shared" si="5"/>
        <v>0</v>
      </c>
    </row>
    <row r="36" spans="1:36">
      <c r="A36" t="s">
        <v>2</v>
      </c>
      <c r="B36" t="s">
        <v>2</v>
      </c>
      <c r="C36">
        <v>12048</v>
      </c>
      <c r="D36" s="24" t="s">
        <v>880</v>
      </c>
      <c r="E36" s="2" t="e">
        <f>VLOOKUP(C:C,#REF!,1,FALSE)</f>
        <v>#REF!</v>
      </c>
      <c r="F36" t="s">
        <v>831</v>
      </c>
      <c r="G36">
        <v>0</v>
      </c>
      <c r="H36">
        <v>1</v>
      </c>
      <c r="I36" t="s">
        <v>663</v>
      </c>
      <c r="J36">
        <v>0</v>
      </c>
      <c r="K36">
        <v>12306</v>
      </c>
      <c r="L36" t="s">
        <v>567</v>
      </c>
      <c r="M36" t="s">
        <v>831</v>
      </c>
      <c r="N36">
        <v>12318</v>
      </c>
      <c r="O36" t="s">
        <v>568</v>
      </c>
      <c r="P36" t="s">
        <v>831</v>
      </c>
      <c r="Q36">
        <v>0</v>
      </c>
      <c r="R36" t="e">
        <v>#N/A</v>
      </c>
      <c r="S36" t="e">
        <v>#N/A</v>
      </c>
      <c r="T36">
        <v>0</v>
      </c>
      <c r="U36">
        <v>0</v>
      </c>
      <c r="V36" t="e">
        <v>#N/A</v>
      </c>
      <c r="W36">
        <v>0</v>
      </c>
      <c r="X36">
        <v>0</v>
      </c>
      <c r="Y36" t="e">
        <v>#N/A</v>
      </c>
      <c r="Z36">
        <v>0</v>
      </c>
      <c r="AA36">
        <v>0</v>
      </c>
      <c r="AB36" t="e">
        <v>#N/A</v>
      </c>
      <c r="AC36" t="s">
        <v>663</v>
      </c>
      <c r="AE36">
        <f t="shared" si="0"/>
        <v>12306</v>
      </c>
      <c r="AF36">
        <f t="shared" si="1"/>
        <v>12318</v>
      </c>
      <c r="AG36">
        <f t="shared" si="2"/>
        <v>0</v>
      </c>
      <c r="AH36">
        <f t="shared" si="3"/>
        <v>0</v>
      </c>
      <c r="AI36">
        <f t="shared" si="4"/>
        <v>0</v>
      </c>
      <c r="AJ36">
        <f t="shared" si="5"/>
        <v>0</v>
      </c>
    </row>
    <row r="37" spans="1:36">
      <c r="A37" t="s">
        <v>2</v>
      </c>
      <c r="B37" t="s">
        <v>2</v>
      </c>
      <c r="C37">
        <v>12049</v>
      </c>
      <c r="D37" s="24" t="s">
        <v>881</v>
      </c>
      <c r="E37" s="2" t="e">
        <f>VLOOKUP(C:C,#REF!,1,FALSE)</f>
        <v>#REF!</v>
      </c>
      <c r="F37" t="s">
        <v>831</v>
      </c>
      <c r="G37">
        <v>0</v>
      </c>
      <c r="H37">
        <v>1</v>
      </c>
      <c r="I37" t="s">
        <v>664</v>
      </c>
      <c r="J37">
        <v>0</v>
      </c>
      <c r="K37">
        <v>12306</v>
      </c>
      <c r="L37" t="s">
        <v>567</v>
      </c>
      <c r="M37" t="s">
        <v>831</v>
      </c>
      <c r="N37">
        <v>12318</v>
      </c>
      <c r="O37" t="s">
        <v>568</v>
      </c>
      <c r="P37" t="s">
        <v>831</v>
      </c>
      <c r="Q37">
        <v>0</v>
      </c>
      <c r="R37" t="e">
        <v>#N/A</v>
      </c>
      <c r="S37" t="e">
        <v>#N/A</v>
      </c>
      <c r="T37">
        <v>0</v>
      </c>
      <c r="U37">
        <v>0</v>
      </c>
      <c r="V37" t="e">
        <v>#N/A</v>
      </c>
      <c r="W37">
        <v>0</v>
      </c>
      <c r="X37">
        <v>0</v>
      </c>
      <c r="Y37" t="e">
        <v>#N/A</v>
      </c>
      <c r="Z37">
        <v>0</v>
      </c>
      <c r="AA37">
        <v>0</v>
      </c>
      <c r="AB37" t="e">
        <v>#N/A</v>
      </c>
      <c r="AC37" t="s">
        <v>664</v>
      </c>
      <c r="AE37">
        <f t="shared" si="0"/>
        <v>12306</v>
      </c>
      <c r="AF37">
        <f t="shared" si="1"/>
        <v>12318</v>
      </c>
      <c r="AG37">
        <f t="shared" si="2"/>
        <v>0</v>
      </c>
      <c r="AH37">
        <f t="shared" si="3"/>
        <v>0</v>
      </c>
      <c r="AI37">
        <f t="shared" si="4"/>
        <v>0</v>
      </c>
      <c r="AJ37">
        <f t="shared" si="5"/>
        <v>0</v>
      </c>
    </row>
    <row r="38" spans="1:36">
      <c r="A38" t="s">
        <v>2</v>
      </c>
      <c r="B38" t="s">
        <v>2</v>
      </c>
      <c r="C38">
        <v>12052</v>
      </c>
      <c r="D38" s="24" t="s">
        <v>882</v>
      </c>
      <c r="E38" s="2" t="e">
        <f>VLOOKUP(C:C,#REF!,1,FALSE)</f>
        <v>#REF!</v>
      </c>
      <c r="F38" t="s">
        <v>831</v>
      </c>
      <c r="G38">
        <v>0</v>
      </c>
      <c r="H38">
        <v>0</v>
      </c>
      <c r="I38" t="s">
        <v>662</v>
      </c>
      <c r="J38">
        <v>0</v>
      </c>
      <c r="K38">
        <v>12306</v>
      </c>
      <c r="L38" t="s">
        <v>567</v>
      </c>
      <c r="M38" t="s">
        <v>831</v>
      </c>
      <c r="N38">
        <v>12318</v>
      </c>
      <c r="O38" t="s">
        <v>568</v>
      </c>
      <c r="P38" t="s">
        <v>831</v>
      </c>
      <c r="Q38">
        <v>0</v>
      </c>
      <c r="R38" t="e">
        <v>#N/A</v>
      </c>
      <c r="S38" t="e">
        <v>#N/A</v>
      </c>
      <c r="T38">
        <v>0</v>
      </c>
      <c r="U38">
        <v>0</v>
      </c>
      <c r="V38" t="e">
        <v>#N/A</v>
      </c>
      <c r="W38">
        <v>0</v>
      </c>
      <c r="X38">
        <v>0</v>
      </c>
      <c r="Y38" t="e">
        <v>#N/A</v>
      </c>
      <c r="Z38">
        <v>0</v>
      </c>
      <c r="AA38">
        <v>0</v>
      </c>
      <c r="AB38" t="e">
        <v>#N/A</v>
      </c>
      <c r="AC38" t="s">
        <v>662</v>
      </c>
      <c r="AE38">
        <f t="shared" si="0"/>
        <v>12306</v>
      </c>
      <c r="AF38">
        <f t="shared" si="1"/>
        <v>12318</v>
      </c>
      <c r="AG38">
        <f t="shared" si="2"/>
        <v>0</v>
      </c>
      <c r="AH38">
        <f t="shared" si="3"/>
        <v>0</v>
      </c>
      <c r="AI38">
        <f t="shared" si="4"/>
        <v>0</v>
      </c>
      <c r="AJ38">
        <f t="shared" si="5"/>
        <v>0</v>
      </c>
    </row>
    <row r="39" spans="1:36">
      <c r="A39" t="s">
        <v>2</v>
      </c>
      <c r="B39" t="s">
        <v>2</v>
      </c>
      <c r="C39">
        <v>12053</v>
      </c>
      <c r="D39" s="24" t="s">
        <v>883</v>
      </c>
      <c r="E39" s="2" t="e">
        <f>VLOOKUP(C:C,#REF!,1,FALSE)</f>
        <v>#REF!</v>
      </c>
      <c r="F39" t="s">
        <v>831</v>
      </c>
      <c r="G39">
        <v>0</v>
      </c>
      <c r="H39">
        <v>0</v>
      </c>
      <c r="I39" t="s">
        <v>663</v>
      </c>
      <c r="J39">
        <v>0</v>
      </c>
      <c r="K39">
        <v>12306</v>
      </c>
      <c r="L39" t="s">
        <v>567</v>
      </c>
      <c r="M39" t="s">
        <v>831</v>
      </c>
      <c r="N39">
        <v>12318</v>
      </c>
      <c r="O39" t="s">
        <v>568</v>
      </c>
      <c r="P39" t="s">
        <v>831</v>
      </c>
      <c r="Q39">
        <v>0</v>
      </c>
      <c r="R39" t="e">
        <v>#N/A</v>
      </c>
      <c r="S39" t="e">
        <v>#N/A</v>
      </c>
      <c r="T39">
        <v>0</v>
      </c>
      <c r="U39">
        <v>0</v>
      </c>
      <c r="V39" t="e">
        <v>#N/A</v>
      </c>
      <c r="W39">
        <v>0</v>
      </c>
      <c r="X39">
        <v>0</v>
      </c>
      <c r="Y39" t="e">
        <v>#N/A</v>
      </c>
      <c r="Z39">
        <v>0</v>
      </c>
      <c r="AA39">
        <v>0</v>
      </c>
      <c r="AB39" t="e">
        <v>#N/A</v>
      </c>
      <c r="AC39" t="s">
        <v>663</v>
      </c>
      <c r="AE39">
        <f t="shared" si="0"/>
        <v>12306</v>
      </c>
      <c r="AF39">
        <f t="shared" si="1"/>
        <v>12318</v>
      </c>
      <c r="AG39">
        <f t="shared" si="2"/>
        <v>0</v>
      </c>
      <c r="AH39">
        <f t="shared" si="3"/>
        <v>0</v>
      </c>
      <c r="AI39">
        <f t="shared" si="4"/>
        <v>0</v>
      </c>
      <c r="AJ39">
        <f t="shared" si="5"/>
        <v>0</v>
      </c>
    </row>
    <row r="40" spans="1:36">
      <c r="A40" t="s">
        <v>2</v>
      </c>
      <c r="B40" t="s">
        <v>2</v>
      </c>
      <c r="C40">
        <v>12059</v>
      </c>
      <c r="D40" s="24" t="s">
        <v>884</v>
      </c>
      <c r="E40" s="2" t="e">
        <f>VLOOKUP(C:C,#REF!,1,FALSE)</f>
        <v>#REF!</v>
      </c>
      <c r="F40" t="s">
        <v>831</v>
      </c>
      <c r="G40">
        <v>0</v>
      </c>
      <c r="H40">
        <v>0</v>
      </c>
      <c r="I40" t="s">
        <v>664</v>
      </c>
      <c r="J40">
        <v>0</v>
      </c>
      <c r="K40">
        <v>12306</v>
      </c>
      <c r="L40" t="s">
        <v>567</v>
      </c>
      <c r="M40" t="s">
        <v>831</v>
      </c>
      <c r="N40">
        <v>12318</v>
      </c>
      <c r="O40" t="s">
        <v>568</v>
      </c>
      <c r="P40" t="s">
        <v>831</v>
      </c>
      <c r="Q40">
        <v>0</v>
      </c>
      <c r="R40" t="e">
        <v>#N/A</v>
      </c>
      <c r="S40" t="e">
        <v>#N/A</v>
      </c>
      <c r="T40">
        <v>0</v>
      </c>
      <c r="U40">
        <v>0</v>
      </c>
      <c r="V40" t="e">
        <v>#N/A</v>
      </c>
      <c r="W40">
        <v>0</v>
      </c>
      <c r="X40">
        <v>0</v>
      </c>
      <c r="Y40" t="e">
        <v>#N/A</v>
      </c>
      <c r="Z40">
        <v>0</v>
      </c>
      <c r="AA40">
        <v>0</v>
      </c>
      <c r="AB40" t="e">
        <v>#N/A</v>
      </c>
      <c r="AC40" t="s">
        <v>664</v>
      </c>
      <c r="AE40">
        <f t="shared" si="0"/>
        <v>12306</v>
      </c>
      <c r="AF40">
        <f t="shared" si="1"/>
        <v>12318</v>
      </c>
      <c r="AG40">
        <f t="shared" si="2"/>
        <v>0</v>
      </c>
      <c r="AH40">
        <f t="shared" si="3"/>
        <v>0</v>
      </c>
      <c r="AI40">
        <f t="shared" si="4"/>
        <v>0</v>
      </c>
      <c r="AJ40">
        <f t="shared" si="5"/>
        <v>0</v>
      </c>
    </row>
    <row r="41" spans="1:36">
      <c r="A41" t="s">
        <v>2</v>
      </c>
      <c r="B41" t="s">
        <v>2</v>
      </c>
      <c r="C41">
        <v>226668</v>
      </c>
      <c r="D41" s="24" t="s">
        <v>885</v>
      </c>
      <c r="E41" s="2" t="e">
        <f>VLOOKUP(C:C,#REF!,1,FALSE)</f>
        <v>#REF!</v>
      </c>
      <c r="F41" t="s">
        <v>830</v>
      </c>
      <c r="G41">
        <v>0</v>
      </c>
      <c r="H41">
        <v>0</v>
      </c>
      <c r="I41" t="s">
        <v>662</v>
      </c>
      <c r="J41">
        <v>1</v>
      </c>
      <c r="K41">
        <v>12306</v>
      </c>
      <c r="L41" t="s">
        <v>567</v>
      </c>
      <c r="M41" t="s">
        <v>831</v>
      </c>
      <c r="N41">
        <v>12318</v>
      </c>
      <c r="O41" t="s">
        <v>568</v>
      </c>
      <c r="P41" t="s">
        <v>831</v>
      </c>
      <c r="Q41">
        <v>0</v>
      </c>
      <c r="R41" t="e">
        <v>#N/A</v>
      </c>
      <c r="S41" t="e">
        <v>#N/A</v>
      </c>
      <c r="T41">
        <v>0</v>
      </c>
      <c r="U41">
        <v>0</v>
      </c>
      <c r="V41" t="e">
        <v>#N/A</v>
      </c>
      <c r="W41">
        <v>0</v>
      </c>
      <c r="X41">
        <v>0</v>
      </c>
      <c r="Y41" t="e">
        <v>#N/A</v>
      </c>
      <c r="Z41">
        <v>0</v>
      </c>
      <c r="AA41">
        <v>0</v>
      </c>
      <c r="AB41" t="e">
        <v>#N/A</v>
      </c>
      <c r="AC41" t="s">
        <v>662</v>
      </c>
      <c r="AE41">
        <f t="shared" si="0"/>
        <v>12306</v>
      </c>
      <c r="AF41">
        <f t="shared" si="1"/>
        <v>12318</v>
      </c>
      <c r="AG41">
        <f t="shared" si="2"/>
        <v>0</v>
      </c>
      <c r="AH41">
        <f t="shared" si="3"/>
        <v>0</v>
      </c>
      <c r="AI41">
        <f t="shared" si="4"/>
        <v>0</v>
      </c>
      <c r="AJ41">
        <f t="shared" si="5"/>
        <v>0</v>
      </c>
    </row>
    <row r="42" spans="1:36">
      <c r="A42" t="s">
        <v>2</v>
      </c>
      <c r="B42" t="s">
        <v>2</v>
      </c>
      <c r="C42">
        <v>226670</v>
      </c>
      <c r="D42" s="24" t="s">
        <v>886</v>
      </c>
      <c r="E42" s="2" t="e">
        <f>VLOOKUP(C:C,#REF!,1,FALSE)</f>
        <v>#REF!</v>
      </c>
      <c r="F42" t="s">
        <v>830</v>
      </c>
      <c r="G42">
        <v>0</v>
      </c>
      <c r="H42">
        <v>0</v>
      </c>
      <c r="I42" t="s">
        <v>663</v>
      </c>
      <c r="J42">
        <v>1</v>
      </c>
      <c r="K42">
        <v>12306</v>
      </c>
      <c r="L42" t="s">
        <v>567</v>
      </c>
      <c r="M42" t="s">
        <v>831</v>
      </c>
      <c r="N42">
        <v>12318</v>
      </c>
      <c r="O42" t="s">
        <v>568</v>
      </c>
      <c r="P42" t="s">
        <v>831</v>
      </c>
      <c r="Q42">
        <v>0</v>
      </c>
      <c r="R42" t="e">
        <v>#N/A</v>
      </c>
      <c r="S42" t="e">
        <v>#N/A</v>
      </c>
      <c r="T42">
        <v>0</v>
      </c>
      <c r="U42">
        <v>0</v>
      </c>
      <c r="V42" t="e">
        <v>#N/A</v>
      </c>
      <c r="W42">
        <v>0</v>
      </c>
      <c r="X42">
        <v>0</v>
      </c>
      <c r="Y42" t="e">
        <v>#N/A</v>
      </c>
      <c r="Z42">
        <v>0</v>
      </c>
      <c r="AA42">
        <v>0</v>
      </c>
      <c r="AB42" t="e">
        <v>#N/A</v>
      </c>
      <c r="AC42" t="s">
        <v>663</v>
      </c>
      <c r="AE42">
        <f t="shared" si="0"/>
        <v>12306</v>
      </c>
      <c r="AF42">
        <f t="shared" si="1"/>
        <v>12318</v>
      </c>
      <c r="AG42">
        <f t="shared" si="2"/>
        <v>0</v>
      </c>
      <c r="AH42">
        <f t="shared" si="3"/>
        <v>0</v>
      </c>
      <c r="AI42">
        <f t="shared" si="4"/>
        <v>0</v>
      </c>
      <c r="AJ42">
        <f t="shared" si="5"/>
        <v>0</v>
      </c>
    </row>
    <row r="43" spans="1:36">
      <c r="A43" t="s">
        <v>2</v>
      </c>
      <c r="B43" t="s">
        <v>2</v>
      </c>
      <c r="C43">
        <v>226671</v>
      </c>
      <c r="D43" s="24" t="s">
        <v>887</v>
      </c>
      <c r="E43" s="2" t="e">
        <f>VLOOKUP(C:C,#REF!,1,FALSE)</f>
        <v>#REF!</v>
      </c>
      <c r="F43" t="s">
        <v>830</v>
      </c>
      <c r="G43">
        <v>0</v>
      </c>
      <c r="H43">
        <v>0</v>
      </c>
      <c r="I43" t="s">
        <v>664</v>
      </c>
      <c r="J43">
        <v>1</v>
      </c>
      <c r="K43">
        <v>12306</v>
      </c>
      <c r="L43" t="s">
        <v>567</v>
      </c>
      <c r="M43" t="s">
        <v>831</v>
      </c>
      <c r="N43">
        <v>12318</v>
      </c>
      <c r="O43" t="s">
        <v>568</v>
      </c>
      <c r="P43" t="s">
        <v>831</v>
      </c>
      <c r="Q43">
        <v>0</v>
      </c>
      <c r="R43" t="e">
        <v>#N/A</v>
      </c>
      <c r="S43" t="e">
        <v>#N/A</v>
      </c>
      <c r="T43">
        <v>0</v>
      </c>
      <c r="U43">
        <v>0</v>
      </c>
      <c r="V43" t="e">
        <v>#N/A</v>
      </c>
      <c r="W43">
        <v>0</v>
      </c>
      <c r="X43">
        <v>0</v>
      </c>
      <c r="Y43" t="e">
        <v>#N/A</v>
      </c>
      <c r="Z43">
        <v>0</v>
      </c>
      <c r="AA43">
        <v>0</v>
      </c>
      <c r="AB43" t="e">
        <v>#N/A</v>
      </c>
      <c r="AC43" t="s">
        <v>664</v>
      </c>
      <c r="AE43">
        <f t="shared" si="0"/>
        <v>12306</v>
      </c>
      <c r="AF43">
        <f t="shared" si="1"/>
        <v>12318</v>
      </c>
      <c r="AG43">
        <f t="shared" si="2"/>
        <v>0</v>
      </c>
      <c r="AH43">
        <f t="shared" si="3"/>
        <v>0</v>
      </c>
      <c r="AI43">
        <f t="shared" si="4"/>
        <v>0</v>
      </c>
      <c r="AJ43">
        <f t="shared" si="5"/>
        <v>0</v>
      </c>
    </row>
    <row r="44" spans="1:36">
      <c r="A44" t="s">
        <v>2</v>
      </c>
      <c r="B44" t="s">
        <v>2</v>
      </c>
      <c r="C44">
        <v>306317</v>
      </c>
      <c r="D44" s="24" t="s">
        <v>888</v>
      </c>
      <c r="E44" s="2" t="e">
        <f>VLOOKUP(C:C,#REF!,1,FALSE)</f>
        <v>#REF!</v>
      </c>
      <c r="F44" t="s">
        <v>830</v>
      </c>
      <c r="G44">
        <v>0</v>
      </c>
      <c r="H44">
        <v>1</v>
      </c>
      <c r="I44" t="s">
        <v>662</v>
      </c>
      <c r="J44">
        <v>0</v>
      </c>
      <c r="K44">
        <v>12306</v>
      </c>
      <c r="L44" t="s">
        <v>567</v>
      </c>
      <c r="M44" t="s">
        <v>831</v>
      </c>
      <c r="N44">
        <v>12318</v>
      </c>
      <c r="O44" t="s">
        <v>568</v>
      </c>
      <c r="P44" t="s">
        <v>831</v>
      </c>
      <c r="Q44">
        <v>0</v>
      </c>
      <c r="R44">
        <v>0</v>
      </c>
      <c r="S44" t="e">
        <v>#N/A</v>
      </c>
      <c r="T44">
        <v>0</v>
      </c>
      <c r="U44">
        <v>0</v>
      </c>
      <c r="V44" t="e">
        <v>#N/A</v>
      </c>
      <c r="W44">
        <v>0</v>
      </c>
      <c r="X44">
        <v>0</v>
      </c>
      <c r="Y44" t="e">
        <v>#N/A</v>
      </c>
      <c r="Z44">
        <v>0</v>
      </c>
      <c r="AA44">
        <v>0</v>
      </c>
      <c r="AB44" t="e">
        <v>#N/A</v>
      </c>
      <c r="AC44">
        <v>0</v>
      </c>
      <c r="AE44">
        <f t="shared" si="0"/>
        <v>12306</v>
      </c>
      <c r="AF44">
        <f t="shared" si="1"/>
        <v>12318</v>
      </c>
      <c r="AG44">
        <f t="shared" si="2"/>
        <v>0</v>
      </c>
      <c r="AH44">
        <f t="shared" si="3"/>
        <v>0</v>
      </c>
      <c r="AI44">
        <f t="shared" si="4"/>
        <v>0</v>
      </c>
      <c r="AJ44">
        <f t="shared" si="5"/>
        <v>0</v>
      </c>
    </row>
    <row r="45" spans="1:36">
      <c r="A45" t="s">
        <v>2</v>
      </c>
      <c r="B45" t="s">
        <v>2</v>
      </c>
      <c r="C45">
        <v>306318</v>
      </c>
      <c r="D45" s="24" t="s">
        <v>889</v>
      </c>
      <c r="E45" s="2" t="e">
        <f>VLOOKUP(C:C,#REF!,1,FALSE)</f>
        <v>#REF!</v>
      </c>
      <c r="F45" t="s">
        <v>830</v>
      </c>
      <c r="G45">
        <v>0</v>
      </c>
      <c r="H45">
        <v>1</v>
      </c>
      <c r="I45" t="s">
        <v>663</v>
      </c>
      <c r="J45">
        <v>0</v>
      </c>
      <c r="K45">
        <v>12306</v>
      </c>
      <c r="L45" t="s">
        <v>567</v>
      </c>
      <c r="M45" t="s">
        <v>831</v>
      </c>
      <c r="N45">
        <v>12318</v>
      </c>
      <c r="O45" t="s">
        <v>568</v>
      </c>
      <c r="P45" t="s">
        <v>831</v>
      </c>
      <c r="Q45">
        <v>0</v>
      </c>
      <c r="R45">
        <v>0</v>
      </c>
      <c r="S45" t="e">
        <v>#N/A</v>
      </c>
      <c r="T45">
        <v>0</v>
      </c>
      <c r="U45">
        <v>0</v>
      </c>
      <c r="V45" t="e">
        <v>#N/A</v>
      </c>
      <c r="W45">
        <v>0</v>
      </c>
      <c r="X45">
        <v>0</v>
      </c>
      <c r="Y45" t="e">
        <v>#N/A</v>
      </c>
      <c r="Z45">
        <v>0</v>
      </c>
      <c r="AA45">
        <v>0</v>
      </c>
      <c r="AB45" t="e">
        <v>#N/A</v>
      </c>
      <c r="AC45">
        <v>0</v>
      </c>
      <c r="AE45">
        <f t="shared" si="0"/>
        <v>12306</v>
      </c>
      <c r="AF45">
        <f t="shared" si="1"/>
        <v>12318</v>
      </c>
      <c r="AG45">
        <f t="shared" si="2"/>
        <v>0</v>
      </c>
      <c r="AH45">
        <f t="shared" si="3"/>
        <v>0</v>
      </c>
      <c r="AI45">
        <f t="shared" si="4"/>
        <v>0</v>
      </c>
      <c r="AJ45">
        <f t="shared" si="5"/>
        <v>0</v>
      </c>
    </row>
    <row r="46" spans="1:36">
      <c r="A46" t="s">
        <v>2</v>
      </c>
      <c r="B46" t="s">
        <v>2</v>
      </c>
      <c r="C46">
        <v>306319</v>
      </c>
      <c r="D46" s="24" t="s">
        <v>890</v>
      </c>
      <c r="E46" s="2" t="e">
        <f>VLOOKUP(C:C,#REF!,1,FALSE)</f>
        <v>#REF!</v>
      </c>
      <c r="F46" t="s">
        <v>830</v>
      </c>
      <c r="G46">
        <v>0</v>
      </c>
      <c r="H46">
        <v>1</v>
      </c>
      <c r="I46" t="s">
        <v>664</v>
      </c>
      <c r="J46">
        <v>0</v>
      </c>
      <c r="K46">
        <v>12306</v>
      </c>
      <c r="L46" t="s">
        <v>567</v>
      </c>
      <c r="M46" t="s">
        <v>831</v>
      </c>
      <c r="N46">
        <v>12318</v>
      </c>
      <c r="O46" t="s">
        <v>568</v>
      </c>
      <c r="P46" t="s">
        <v>831</v>
      </c>
      <c r="Q46">
        <v>0</v>
      </c>
      <c r="R46">
        <v>0</v>
      </c>
      <c r="S46" t="e">
        <v>#N/A</v>
      </c>
      <c r="T46">
        <v>0</v>
      </c>
      <c r="U46">
        <v>0</v>
      </c>
      <c r="V46" t="e">
        <v>#N/A</v>
      </c>
      <c r="W46">
        <v>0</v>
      </c>
      <c r="X46">
        <v>0</v>
      </c>
      <c r="Y46" t="e">
        <v>#N/A</v>
      </c>
      <c r="Z46">
        <v>0</v>
      </c>
      <c r="AA46">
        <v>0</v>
      </c>
      <c r="AB46" t="e">
        <v>#N/A</v>
      </c>
      <c r="AC46">
        <v>0</v>
      </c>
      <c r="AE46">
        <f t="shared" si="0"/>
        <v>12306</v>
      </c>
      <c r="AF46">
        <f t="shared" si="1"/>
        <v>12318</v>
      </c>
      <c r="AG46">
        <f t="shared" si="2"/>
        <v>0</v>
      </c>
      <c r="AH46">
        <f t="shared" si="3"/>
        <v>0</v>
      </c>
      <c r="AI46">
        <f t="shared" si="4"/>
        <v>0</v>
      </c>
      <c r="AJ46">
        <f t="shared" si="5"/>
        <v>0</v>
      </c>
    </row>
    <row r="47" spans="1:36">
      <c r="A47" t="s">
        <v>2</v>
      </c>
      <c r="B47" t="s">
        <v>2</v>
      </c>
      <c r="C47">
        <v>12106</v>
      </c>
      <c r="D47" s="24" t="s">
        <v>891</v>
      </c>
      <c r="E47" s="2" t="e">
        <f>VLOOKUP(C:C,#REF!,1,FALSE)</f>
        <v>#REF!</v>
      </c>
      <c r="F47" t="s">
        <v>831</v>
      </c>
      <c r="G47">
        <v>1</v>
      </c>
      <c r="H47">
        <v>0</v>
      </c>
      <c r="I47" t="s">
        <v>662</v>
      </c>
      <c r="J47">
        <v>0</v>
      </c>
      <c r="K47">
        <v>12306</v>
      </c>
      <c r="L47" t="s">
        <v>567</v>
      </c>
      <c r="M47" t="s">
        <v>831</v>
      </c>
      <c r="N47">
        <v>12318</v>
      </c>
      <c r="O47" t="s">
        <v>568</v>
      </c>
      <c r="P47" t="s">
        <v>831</v>
      </c>
      <c r="Q47">
        <v>0</v>
      </c>
      <c r="R47" t="e">
        <v>#N/A</v>
      </c>
      <c r="S47" t="e">
        <v>#N/A</v>
      </c>
      <c r="T47">
        <v>0</v>
      </c>
      <c r="U47">
        <v>0</v>
      </c>
      <c r="V47" t="e">
        <v>#N/A</v>
      </c>
      <c r="W47">
        <v>0</v>
      </c>
      <c r="X47">
        <v>0</v>
      </c>
      <c r="Y47" t="e">
        <v>#N/A</v>
      </c>
      <c r="Z47">
        <v>0</v>
      </c>
      <c r="AA47">
        <v>0</v>
      </c>
      <c r="AB47" t="e">
        <v>#N/A</v>
      </c>
      <c r="AC47" t="s">
        <v>662</v>
      </c>
      <c r="AE47">
        <f t="shared" si="0"/>
        <v>12306</v>
      </c>
      <c r="AF47">
        <f t="shared" si="1"/>
        <v>12318</v>
      </c>
      <c r="AG47">
        <f t="shared" si="2"/>
        <v>0</v>
      </c>
      <c r="AH47">
        <f t="shared" si="3"/>
        <v>0</v>
      </c>
      <c r="AI47">
        <f t="shared" si="4"/>
        <v>0</v>
      </c>
      <c r="AJ47">
        <f t="shared" si="5"/>
        <v>0</v>
      </c>
    </row>
    <row r="48" spans="1:36">
      <c r="A48" t="s">
        <v>2</v>
      </c>
      <c r="B48" t="s">
        <v>2</v>
      </c>
      <c r="C48">
        <v>12107</v>
      </c>
      <c r="D48" s="24" t="s">
        <v>892</v>
      </c>
      <c r="E48" s="2" t="e">
        <f>VLOOKUP(C:C,#REF!,1,FALSE)</f>
        <v>#REF!</v>
      </c>
      <c r="F48" t="s">
        <v>831</v>
      </c>
      <c r="G48">
        <v>1</v>
      </c>
      <c r="H48">
        <v>0</v>
      </c>
      <c r="I48" t="s">
        <v>663</v>
      </c>
      <c r="J48">
        <v>0</v>
      </c>
      <c r="K48">
        <v>12306</v>
      </c>
      <c r="L48" t="s">
        <v>567</v>
      </c>
      <c r="M48" t="s">
        <v>831</v>
      </c>
      <c r="N48">
        <v>12318</v>
      </c>
      <c r="O48" t="s">
        <v>568</v>
      </c>
      <c r="P48" t="s">
        <v>831</v>
      </c>
      <c r="Q48">
        <v>0</v>
      </c>
      <c r="R48" t="e">
        <v>#N/A</v>
      </c>
      <c r="S48" t="e">
        <v>#N/A</v>
      </c>
      <c r="T48">
        <v>0</v>
      </c>
      <c r="U48">
        <v>0</v>
      </c>
      <c r="V48" t="e">
        <v>#N/A</v>
      </c>
      <c r="W48">
        <v>0</v>
      </c>
      <c r="X48">
        <v>0</v>
      </c>
      <c r="Y48" t="e">
        <v>#N/A</v>
      </c>
      <c r="Z48">
        <v>0</v>
      </c>
      <c r="AA48">
        <v>0</v>
      </c>
      <c r="AB48" t="e">
        <v>#N/A</v>
      </c>
      <c r="AC48" t="s">
        <v>663</v>
      </c>
      <c r="AE48">
        <f t="shared" si="0"/>
        <v>12306</v>
      </c>
      <c r="AF48">
        <f t="shared" si="1"/>
        <v>12318</v>
      </c>
      <c r="AG48">
        <f t="shared" si="2"/>
        <v>0</v>
      </c>
      <c r="AH48">
        <f t="shared" si="3"/>
        <v>0</v>
      </c>
      <c r="AI48">
        <f t="shared" si="4"/>
        <v>0</v>
      </c>
      <c r="AJ48">
        <f t="shared" si="5"/>
        <v>0</v>
      </c>
    </row>
    <row r="49" spans="1:36">
      <c r="A49" t="s">
        <v>2</v>
      </c>
      <c r="B49" t="s">
        <v>2</v>
      </c>
      <c r="C49">
        <v>12108</v>
      </c>
      <c r="D49" s="24" t="s">
        <v>893</v>
      </c>
      <c r="E49" s="2" t="e">
        <f>VLOOKUP(C:C,#REF!,1,FALSE)</f>
        <v>#REF!</v>
      </c>
      <c r="F49" t="s">
        <v>830</v>
      </c>
      <c r="G49">
        <v>1</v>
      </c>
      <c r="H49">
        <v>0</v>
      </c>
      <c r="I49" t="s">
        <v>664</v>
      </c>
      <c r="J49">
        <v>0</v>
      </c>
      <c r="K49">
        <v>12306</v>
      </c>
      <c r="L49" t="s">
        <v>567</v>
      </c>
      <c r="M49" t="s">
        <v>831</v>
      </c>
      <c r="N49">
        <v>12318</v>
      </c>
      <c r="O49" t="s">
        <v>568</v>
      </c>
      <c r="P49" t="s">
        <v>831</v>
      </c>
      <c r="Q49">
        <v>0</v>
      </c>
      <c r="R49" t="e">
        <v>#N/A</v>
      </c>
      <c r="S49" t="e">
        <v>#N/A</v>
      </c>
      <c r="T49">
        <v>0</v>
      </c>
      <c r="U49">
        <v>0</v>
      </c>
      <c r="V49" t="e">
        <v>#N/A</v>
      </c>
      <c r="W49">
        <v>0</v>
      </c>
      <c r="X49">
        <v>0</v>
      </c>
      <c r="Y49" t="e">
        <v>#N/A</v>
      </c>
      <c r="Z49">
        <v>0</v>
      </c>
      <c r="AA49">
        <v>0</v>
      </c>
      <c r="AB49" t="e">
        <v>#N/A</v>
      </c>
      <c r="AC49" t="s">
        <v>664</v>
      </c>
      <c r="AE49">
        <f t="shared" si="0"/>
        <v>12306</v>
      </c>
      <c r="AF49">
        <f t="shared" si="1"/>
        <v>12318</v>
      </c>
      <c r="AG49">
        <f t="shared" si="2"/>
        <v>0</v>
      </c>
      <c r="AH49">
        <f t="shared" si="3"/>
        <v>0</v>
      </c>
      <c r="AI49">
        <f t="shared" si="4"/>
        <v>0</v>
      </c>
      <c r="AJ49">
        <f t="shared" si="5"/>
        <v>0</v>
      </c>
    </row>
    <row r="50" spans="1:36">
      <c r="A50" t="s">
        <v>2</v>
      </c>
      <c r="B50" t="s">
        <v>2</v>
      </c>
      <c r="C50">
        <v>118033</v>
      </c>
      <c r="D50" s="24" t="s">
        <v>894</v>
      </c>
      <c r="E50" s="2" t="e">
        <f>VLOOKUP(C:C,#REF!,1,FALSE)</f>
        <v>#REF!</v>
      </c>
      <c r="F50" t="s">
        <v>830</v>
      </c>
      <c r="G50">
        <v>1</v>
      </c>
      <c r="H50">
        <v>1</v>
      </c>
      <c r="I50" t="s">
        <v>662</v>
      </c>
      <c r="J50">
        <v>0</v>
      </c>
      <c r="K50">
        <v>12306</v>
      </c>
      <c r="L50" t="s">
        <v>567</v>
      </c>
      <c r="M50" t="s">
        <v>831</v>
      </c>
      <c r="N50">
        <v>12318</v>
      </c>
      <c r="O50" t="s">
        <v>568</v>
      </c>
      <c r="P50" t="s">
        <v>831</v>
      </c>
      <c r="Q50">
        <v>0</v>
      </c>
      <c r="R50" t="e">
        <v>#N/A</v>
      </c>
      <c r="S50" t="e">
        <v>#N/A</v>
      </c>
      <c r="T50">
        <v>0</v>
      </c>
      <c r="U50">
        <v>0</v>
      </c>
      <c r="V50" t="e">
        <v>#N/A</v>
      </c>
      <c r="W50">
        <v>0</v>
      </c>
      <c r="X50">
        <v>0</v>
      </c>
      <c r="Y50" t="e">
        <v>#N/A</v>
      </c>
      <c r="Z50">
        <v>0</v>
      </c>
      <c r="AA50">
        <v>0</v>
      </c>
      <c r="AB50" t="e">
        <v>#N/A</v>
      </c>
      <c r="AC50" t="s">
        <v>662</v>
      </c>
      <c r="AE50">
        <f t="shared" si="0"/>
        <v>12306</v>
      </c>
      <c r="AF50">
        <f t="shared" si="1"/>
        <v>12318</v>
      </c>
      <c r="AG50">
        <f t="shared" si="2"/>
        <v>0</v>
      </c>
      <c r="AH50">
        <f t="shared" si="3"/>
        <v>0</v>
      </c>
      <c r="AI50">
        <f t="shared" si="4"/>
        <v>0</v>
      </c>
      <c r="AJ50">
        <f t="shared" si="5"/>
        <v>0</v>
      </c>
    </row>
    <row r="51" spans="1:36">
      <c r="A51" t="s">
        <v>2</v>
      </c>
      <c r="B51" t="s">
        <v>2</v>
      </c>
      <c r="C51">
        <v>118120</v>
      </c>
      <c r="D51" s="24" t="s">
        <v>895</v>
      </c>
      <c r="E51" s="2" t="e">
        <f>VLOOKUP(C:C,#REF!,1,FALSE)</f>
        <v>#REF!</v>
      </c>
      <c r="F51" t="s">
        <v>830</v>
      </c>
      <c r="G51">
        <v>1</v>
      </c>
      <c r="H51">
        <v>1</v>
      </c>
      <c r="I51" t="s">
        <v>663</v>
      </c>
      <c r="J51">
        <v>0</v>
      </c>
      <c r="K51">
        <v>12306</v>
      </c>
      <c r="L51" t="s">
        <v>567</v>
      </c>
      <c r="M51" t="s">
        <v>831</v>
      </c>
      <c r="N51">
        <v>12318</v>
      </c>
      <c r="O51" t="s">
        <v>568</v>
      </c>
      <c r="P51" t="s">
        <v>831</v>
      </c>
      <c r="Q51">
        <v>0</v>
      </c>
      <c r="R51" t="e">
        <v>#N/A</v>
      </c>
      <c r="S51" t="e">
        <v>#N/A</v>
      </c>
      <c r="T51">
        <v>0</v>
      </c>
      <c r="U51">
        <v>0</v>
      </c>
      <c r="V51" t="e">
        <v>#N/A</v>
      </c>
      <c r="W51">
        <v>0</v>
      </c>
      <c r="X51">
        <v>0</v>
      </c>
      <c r="Y51" t="e">
        <v>#N/A</v>
      </c>
      <c r="Z51">
        <v>0</v>
      </c>
      <c r="AA51">
        <v>0</v>
      </c>
      <c r="AB51" t="e">
        <v>#N/A</v>
      </c>
      <c r="AC51" t="s">
        <v>663</v>
      </c>
      <c r="AE51">
        <f t="shared" si="0"/>
        <v>12306</v>
      </c>
      <c r="AF51">
        <f t="shared" si="1"/>
        <v>12318</v>
      </c>
      <c r="AG51">
        <f t="shared" si="2"/>
        <v>0</v>
      </c>
      <c r="AH51">
        <f t="shared" si="3"/>
        <v>0</v>
      </c>
      <c r="AI51">
        <f t="shared" si="4"/>
        <v>0</v>
      </c>
      <c r="AJ51">
        <f t="shared" si="5"/>
        <v>0</v>
      </c>
    </row>
    <row r="52" spans="1:36">
      <c r="A52" t="s">
        <v>2</v>
      </c>
      <c r="B52" t="s">
        <v>2</v>
      </c>
      <c r="C52">
        <v>118121</v>
      </c>
      <c r="D52" s="24" t="s">
        <v>896</v>
      </c>
      <c r="E52" s="2" t="e">
        <f>VLOOKUP(C:C,#REF!,1,FALSE)</f>
        <v>#REF!</v>
      </c>
      <c r="F52" t="s">
        <v>830</v>
      </c>
      <c r="G52">
        <v>1</v>
      </c>
      <c r="H52">
        <v>1</v>
      </c>
      <c r="I52" t="s">
        <v>664</v>
      </c>
      <c r="J52">
        <v>0</v>
      </c>
      <c r="K52">
        <v>12306</v>
      </c>
      <c r="L52" t="s">
        <v>567</v>
      </c>
      <c r="M52" t="s">
        <v>831</v>
      </c>
      <c r="N52">
        <v>12318</v>
      </c>
      <c r="O52" t="s">
        <v>568</v>
      </c>
      <c r="P52" t="s">
        <v>831</v>
      </c>
      <c r="Q52">
        <v>0</v>
      </c>
      <c r="R52" t="e">
        <v>#N/A</v>
      </c>
      <c r="S52" t="e">
        <v>#N/A</v>
      </c>
      <c r="T52">
        <v>0</v>
      </c>
      <c r="U52">
        <v>0</v>
      </c>
      <c r="V52" t="e">
        <v>#N/A</v>
      </c>
      <c r="W52">
        <v>0</v>
      </c>
      <c r="X52">
        <v>0</v>
      </c>
      <c r="Y52" t="e">
        <v>#N/A</v>
      </c>
      <c r="Z52">
        <v>0</v>
      </c>
      <c r="AA52">
        <v>0</v>
      </c>
      <c r="AB52" t="e">
        <v>#N/A</v>
      </c>
      <c r="AC52" t="s">
        <v>664</v>
      </c>
      <c r="AE52">
        <f t="shared" si="0"/>
        <v>12306</v>
      </c>
      <c r="AF52">
        <f t="shared" si="1"/>
        <v>12318</v>
      </c>
      <c r="AG52">
        <f t="shared" si="2"/>
        <v>0</v>
      </c>
      <c r="AH52">
        <f t="shared" si="3"/>
        <v>0</v>
      </c>
      <c r="AI52">
        <f t="shared" si="4"/>
        <v>0</v>
      </c>
      <c r="AJ52">
        <f t="shared" si="5"/>
        <v>0</v>
      </c>
    </row>
    <row r="53" spans="1:36">
      <c r="A53" t="s">
        <v>2</v>
      </c>
      <c r="B53" t="s">
        <v>2</v>
      </c>
      <c r="C53">
        <v>12109</v>
      </c>
      <c r="D53" s="24" t="s">
        <v>897</v>
      </c>
      <c r="E53" s="2" t="e">
        <f>VLOOKUP(C:C,#REF!,1,FALSE)</f>
        <v>#REF!</v>
      </c>
      <c r="F53" t="s">
        <v>830</v>
      </c>
      <c r="G53">
        <v>1</v>
      </c>
      <c r="H53">
        <v>0</v>
      </c>
      <c r="I53" t="s">
        <v>662</v>
      </c>
      <c r="J53">
        <v>1</v>
      </c>
      <c r="K53">
        <v>12306</v>
      </c>
      <c r="L53" t="s">
        <v>567</v>
      </c>
      <c r="M53" t="s">
        <v>831</v>
      </c>
      <c r="N53">
        <v>12318</v>
      </c>
      <c r="O53" t="s">
        <v>568</v>
      </c>
      <c r="P53" t="s">
        <v>831</v>
      </c>
      <c r="Q53">
        <v>0</v>
      </c>
      <c r="R53" t="e">
        <v>#N/A</v>
      </c>
      <c r="S53" t="e">
        <v>#N/A</v>
      </c>
      <c r="T53">
        <v>0</v>
      </c>
      <c r="U53">
        <v>0</v>
      </c>
      <c r="V53" t="e">
        <v>#N/A</v>
      </c>
      <c r="W53">
        <v>0</v>
      </c>
      <c r="X53">
        <v>0</v>
      </c>
      <c r="Y53" t="e">
        <v>#N/A</v>
      </c>
      <c r="Z53">
        <v>0</v>
      </c>
      <c r="AA53">
        <v>0</v>
      </c>
      <c r="AB53" t="e">
        <v>#N/A</v>
      </c>
      <c r="AC53" t="s">
        <v>662</v>
      </c>
      <c r="AE53">
        <f t="shared" si="0"/>
        <v>12306</v>
      </c>
      <c r="AF53">
        <f t="shared" si="1"/>
        <v>12318</v>
      </c>
      <c r="AG53">
        <f t="shared" si="2"/>
        <v>0</v>
      </c>
      <c r="AH53">
        <f t="shared" si="3"/>
        <v>0</v>
      </c>
      <c r="AI53">
        <f t="shared" si="4"/>
        <v>0</v>
      </c>
      <c r="AJ53">
        <f t="shared" si="5"/>
        <v>0</v>
      </c>
    </row>
    <row r="54" spans="1:36">
      <c r="A54" t="s">
        <v>2</v>
      </c>
      <c r="B54" t="s">
        <v>2</v>
      </c>
      <c r="C54">
        <v>13764</v>
      </c>
      <c r="D54" s="24" t="s">
        <v>898</v>
      </c>
      <c r="E54" s="2" t="e">
        <f>VLOOKUP(C:C,#REF!,1,FALSE)</f>
        <v>#REF!</v>
      </c>
      <c r="F54" t="s">
        <v>831</v>
      </c>
      <c r="G54">
        <v>1</v>
      </c>
      <c r="H54">
        <v>0</v>
      </c>
      <c r="I54" t="s">
        <v>662</v>
      </c>
      <c r="J54">
        <v>1</v>
      </c>
      <c r="K54">
        <v>12306</v>
      </c>
      <c r="L54" t="s">
        <v>567</v>
      </c>
      <c r="M54" t="s">
        <v>831</v>
      </c>
      <c r="N54">
        <v>12318</v>
      </c>
      <c r="O54" t="s">
        <v>568</v>
      </c>
      <c r="P54" t="s">
        <v>831</v>
      </c>
      <c r="Q54">
        <v>0</v>
      </c>
      <c r="R54" t="e">
        <v>#N/A</v>
      </c>
      <c r="S54" t="e">
        <v>#N/A</v>
      </c>
      <c r="T54">
        <v>0</v>
      </c>
      <c r="U54">
        <v>0</v>
      </c>
      <c r="V54" t="e">
        <v>#N/A</v>
      </c>
      <c r="W54">
        <v>0</v>
      </c>
      <c r="X54">
        <v>0</v>
      </c>
      <c r="Y54" t="e">
        <v>#N/A</v>
      </c>
      <c r="Z54">
        <v>0</v>
      </c>
      <c r="AA54">
        <v>0</v>
      </c>
      <c r="AB54" t="e">
        <v>#N/A</v>
      </c>
      <c r="AC54" t="s">
        <v>662</v>
      </c>
      <c r="AE54">
        <f t="shared" si="0"/>
        <v>12306</v>
      </c>
      <c r="AF54">
        <f t="shared" si="1"/>
        <v>12318</v>
      </c>
      <c r="AG54">
        <f t="shared" si="2"/>
        <v>0</v>
      </c>
      <c r="AH54">
        <f t="shared" si="3"/>
        <v>0</v>
      </c>
      <c r="AI54">
        <f t="shared" si="4"/>
        <v>0</v>
      </c>
      <c r="AJ54">
        <f t="shared" si="5"/>
        <v>0</v>
      </c>
    </row>
    <row r="55" spans="1:36">
      <c r="A55" t="s">
        <v>2</v>
      </c>
      <c r="B55" t="s">
        <v>2</v>
      </c>
      <c r="C55">
        <v>306329</v>
      </c>
      <c r="D55" s="24" t="s">
        <v>899</v>
      </c>
      <c r="E55" s="2" t="e">
        <f>VLOOKUP(C:C,#REF!,1,FALSE)</f>
        <v>#REF!</v>
      </c>
      <c r="F55" t="s">
        <v>830</v>
      </c>
      <c r="G55">
        <v>1</v>
      </c>
      <c r="H55">
        <v>0</v>
      </c>
      <c r="I55" t="s">
        <v>662</v>
      </c>
      <c r="J55">
        <v>0</v>
      </c>
      <c r="K55">
        <v>12306</v>
      </c>
      <c r="L55" t="s">
        <v>567</v>
      </c>
      <c r="M55" t="s">
        <v>831</v>
      </c>
      <c r="N55">
        <v>12318</v>
      </c>
      <c r="O55" t="s">
        <v>568</v>
      </c>
      <c r="P55" t="s">
        <v>831</v>
      </c>
      <c r="Q55">
        <v>0</v>
      </c>
      <c r="R55" t="e">
        <v>#N/A</v>
      </c>
      <c r="S55" t="e">
        <v>#N/A</v>
      </c>
      <c r="T55">
        <v>0</v>
      </c>
      <c r="U55">
        <v>0</v>
      </c>
      <c r="V55" t="e">
        <v>#N/A</v>
      </c>
      <c r="W55">
        <v>0</v>
      </c>
      <c r="X55">
        <v>0</v>
      </c>
      <c r="Y55" t="e">
        <v>#N/A</v>
      </c>
      <c r="Z55">
        <v>0</v>
      </c>
      <c r="AA55">
        <v>0</v>
      </c>
      <c r="AB55" t="e">
        <v>#N/A</v>
      </c>
      <c r="AC55">
        <v>0</v>
      </c>
      <c r="AE55">
        <f t="shared" si="0"/>
        <v>12306</v>
      </c>
      <c r="AF55">
        <f t="shared" si="1"/>
        <v>12318</v>
      </c>
      <c r="AG55">
        <f t="shared" si="2"/>
        <v>0</v>
      </c>
      <c r="AH55">
        <f t="shared" si="3"/>
        <v>0</v>
      </c>
      <c r="AI55">
        <f t="shared" si="4"/>
        <v>0</v>
      </c>
      <c r="AJ55">
        <f t="shared" si="5"/>
        <v>0</v>
      </c>
    </row>
    <row r="56" spans="1:36">
      <c r="D56" s="24"/>
      <c r="E56" s="24"/>
    </row>
    <row r="57" spans="1:36">
      <c r="D57"/>
      <c r="E57"/>
    </row>
    <row r="58" spans="1:36">
      <c r="D58"/>
      <c r="E58"/>
    </row>
    <row r="59" spans="1:36">
      <c r="D59"/>
      <c r="E59"/>
    </row>
    <row r="60" spans="1:36">
      <c r="D60"/>
      <c r="E60"/>
    </row>
  </sheetData>
  <autoFilter ref="A1:AJ55" xr:uid="{739FD9C0-0A88-4EBA-AC69-634EC11C85EF}"/>
  <pageMargins left="0.7" right="0.7" top="0.78740157499999996" bottom="0.78740157499999996" header="0.3" footer="0.3"/>
  <pageSetup paperSize="9"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J64"/>
  <sheetViews>
    <sheetView showGridLines="0" showRowColHeaders="0" workbookViewId="0">
      <selection activeCell="I8" sqref="I8:N8"/>
    </sheetView>
  </sheetViews>
  <sheetFormatPr defaultColWidth="0" defaultRowHeight="14.85" customHeight="1" zeroHeight="1"/>
  <cols>
    <col min="1" max="3" width="8.5703125" style="191" customWidth="1"/>
    <col min="4" max="4" width="6.5703125" style="191" customWidth="1"/>
    <col min="5" max="16" width="8.5703125" style="191" customWidth="1"/>
    <col min="17" max="17" width="6.5703125" style="191" customWidth="1"/>
    <col min="18" max="18" width="8.5703125" style="191" customWidth="1"/>
    <col min="19" max="20" width="11.28515625" style="191" customWidth="1"/>
    <col min="21" max="21" width="17.5703125" style="191" hidden="1" customWidth="1"/>
    <col min="22" max="22" width="8.85546875" style="191" hidden="1" customWidth="1"/>
    <col min="23" max="23" width="18.5703125" style="191" hidden="1" customWidth="1"/>
    <col min="24" max="36" width="0" style="191" hidden="1" customWidth="1"/>
    <col min="37" max="16384" width="8.85546875" style="191" hidden="1"/>
  </cols>
  <sheetData>
    <row r="1" spans="1:36" ht="15">
      <c r="A1" s="81"/>
      <c r="B1" s="81"/>
      <c r="C1" s="81"/>
      <c r="D1" s="81"/>
      <c r="E1" s="81"/>
      <c r="F1" s="81"/>
      <c r="G1" s="81"/>
      <c r="H1" s="81"/>
      <c r="I1" s="81"/>
      <c r="J1" s="81"/>
      <c r="K1" s="81"/>
      <c r="L1" s="81"/>
      <c r="M1" s="81"/>
      <c r="N1" s="81"/>
      <c r="O1" s="81"/>
      <c r="P1" s="1"/>
      <c r="Q1" s="1"/>
      <c r="R1" s="1"/>
      <c r="S1" s="1"/>
      <c r="T1" s="1"/>
    </row>
    <row r="2" spans="1:36" ht="15">
      <c r="A2" s="82"/>
      <c r="B2" s="82"/>
      <c r="C2" s="82"/>
      <c r="D2" s="82"/>
      <c r="E2" s="82"/>
      <c r="F2" s="82"/>
      <c r="G2" s="82"/>
      <c r="H2" s="82"/>
      <c r="I2" s="82"/>
      <c r="J2" s="82"/>
      <c r="K2" s="82"/>
      <c r="L2" s="82"/>
      <c r="M2" s="82"/>
      <c r="N2" s="82"/>
      <c r="O2" s="82"/>
      <c r="P2" s="27"/>
      <c r="Q2" s="547" t="str">
        <f>'Translate&amp;Prices&amp;Logo'!$B$540</f>
        <v>Wprowadzenie</v>
      </c>
      <c r="R2" s="548"/>
      <c r="S2" s="548"/>
      <c r="T2" s="548"/>
    </row>
    <row r="3" spans="1:36" ht="15">
      <c r="A3" s="82"/>
      <c r="B3" s="82"/>
      <c r="C3" s="82"/>
      <c r="D3" s="82"/>
      <c r="E3" s="82"/>
      <c r="F3" s="82"/>
      <c r="G3" s="82"/>
      <c r="H3" s="82"/>
      <c r="I3" s="82"/>
      <c r="J3" s="82"/>
      <c r="K3" s="82"/>
      <c r="L3" s="82"/>
      <c r="M3" s="82"/>
      <c r="N3" s="82"/>
      <c r="O3" s="82"/>
      <c r="P3" s="27"/>
      <c r="Q3" s="547"/>
      <c r="R3" s="548"/>
      <c r="S3" s="548"/>
      <c r="T3" s="548"/>
      <c r="W3" s="191" t="e">
        <f>VLOOKUP(I24,V5:W7,2,0)</f>
        <v>#N/A</v>
      </c>
    </row>
    <row r="4" spans="1:36" ht="15">
      <c r="A4" s="81"/>
      <c r="B4" s="81"/>
      <c r="C4" s="81"/>
      <c r="D4" s="81"/>
      <c r="E4" s="81"/>
      <c r="F4" s="81"/>
      <c r="G4" s="81"/>
      <c r="H4" s="81"/>
      <c r="I4" s="81"/>
      <c r="J4" s="1"/>
      <c r="K4" s="1"/>
      <c r="L4" s="1"/>
      <c r="M4" s="1"/>
      <c r="N4" s="1"/>
      <c r="O4" s="1"/>
      <c r="P4" s="1"/>
      <c r="Q4" s="1"/>
      <c r="R4" s="1"/>
      <c r="S4" s="1"/>
      <c r="T4" s="1"/>
      <c r="AE4" s="13" t="s">
        <v>3745</v>
      </c>
      <c r="AF4" s="13" t="s">
        <v>3746</v>
      </c>
      <c r="AG4" s="13" t="s">
        <v>3747</v>
      </c>
      <c r="AH4" s="13" t="s">
        <v>3748</v>
      </c>
      <c r="AI4" s="13" t="s">
        <v>3749</v>
      </c>
      <c r="AJ4" s="13" t="s">
        <v>3750</v>
      </c>
    </row>
    <row r="5" spans="1:36" ht="14.85" customHeight="1">
      <c r="A5" s="1"/>
      <c r="B5" s="1"/>
      <c r="C5" s="1"/>
      <c r="D5" s="1"/>
      <c r="E5" s="1"/>
      <c r="F5" s="1"/>
      <c r="G5" s="1"/>
      <c r="H5" s="1"/>
      <c r="I5" s="1"/>
      <c r="J5" s="1"/>
      <c r="K5" s="1"/>
      <c r="L5" s="1"/>
      <c r="M5" s="1"/>
      <c r="N5" s="1"/>
      <c r="O5" s="1"/>
      <c r="P5" s="1"/>
      <c r="Q5" s="1"/>
      <c r="R5" s="1"/>
      <c r="S5" s="1"/>
      <c r="T5" s="1"/>
      <c r="V5" s="191" t="str">
        <f>'Translate&amp;Prices&amp;Logo'!B638</f>
        <v>Bez modyfikacji</v>
      </c>
      <c r="W5" s="191">
        <v>1</v>
      </c>
      <c r="AC5" s="375">
        <f>MAX(I21:R22)</f>
        <v>0</v>
      </c>
      <c r="AE5" s="13">
        <v>0</v>
      </c>
      <c r="AF5" s="13">
        <v>601</v>
      </c>
      <c r="AG5" s="13">
        <v>801</v>
      </c>
      <c r="AH5" s="13">
        <v>1500</v>
      </c>
      <c r="AI5" s="13">
        <v>2000</v>
      </c>
      <c r="AJ5" s="13">
        <v>2500</v>
      </c>
    </row>
    <row r="6" spans="1:36" ht="14.85" customHeight="1">
      <c r="A6" s="1"/>
      <c r="B6" s="1"/>
      <c r="C6" s="1"/>
      <c r="D6" s="1"/>
      <c r="E6" s="1"/>
      <c r="F6" s="1"/>
      <c r="G6" s="1"/>
      <c r="H6" s="1"/>
      <c r="I6" s="1"/>
      <c r="J6" s="1"/>
      <c r="K6" s="1"/>
      <c r="L6" s="1"/>
      <c r="M6" s="1"/>
      <c r="N6" s="1"/>
      <c r="O6" s="1"/>
      <c r="P6" s="1"/>
      <c r="Q6" s="1"/>
      <c r="R6" s="1"/>
      <c r="S6" s="1"/>
      <c r="T6" s="1"/>
      <c r="V6" s="191" t="str">
        <f>'Translate&amp;Prices&amp;Logo'!B639</f>
        <v>Hartowane (termin dostawy 4 tygodnie)</v>
      </c>
      <c r="W6" s="191">
        <v>2</v>
      </c>
      <c r="AE6" s="13">
        <v>1</v>
      </c>
      <c r="AF6" s="13">
        <v>2</v>
      </c>
      <c r="AG6" s="13">
        <v>3</v>
      </c>
      <c r="AH6" s="13">
        <v>4</v>
      </c>
      <c r="AI6" s="13">
        <v>5</v>
      </c>
      <c r="AJ6" s="13">
        <v>6</v>
      </c>
    </row>
    <row r="7" spans="1:36" ht="14.85" customHeight="1">
      <c r="A7" s="1"/>
      <c r="B7" s="1"/>
      <c r="C7" s="1"/>
      <c r="D7" s="1"/>
      <c r="E7" s="1"/>
      <c r="F7" s="1"/>
      <c r="G7" s="1"/>
      <c r="H7" s="1"/>
      <c r="I7" s="1"/>
      <c r="J7" s="1"/>
      <c r="K7" s="1"/>
      <c r="L7" s="1"/>
      <c r="M7" s="1"/>
      <c r="N7" s="1"/>
      <c r="O7" s="1"/>
      <c r="P7" s="1"/>
      <c r="Q7" s="1"/>
      <c r="R7" s="1"/>
      <c r="S7" s="1"/>
      <c r="T7" s="1"/>
      <c r="V7" s="191" t="str">
        <f>'Translate&amp;Prices&amp;Logo'!B640</f>
        <v>Folia</v>
      </c>
      <c r="W7" s="191">
        <v>3</v>
      </c>
      <c r="Z7" s="191" t="e">
        <f t="array" ref="Z7:Z64">IF(W3=1,_N1,IF(W3=2,_N2,IF(W3=3,_N3)))</f>
        <v>#N/A</v>
      </c>
      <c r="AE7" s="13">
        <v>39.799999999999997</v>
      </c>
      <c r="AF7" s="13">
        <v>49.5</v>
      </c>
      <c r="AG7" s="13">
        <v>106</v>
      </c>
      <c r="AH7" s="13">
        <v>297.5</v>
      </c>
      <c r="AI7" s="13">
        <v>351</v>
      </c>
      <c r="AJ7" s="13">
        <v>456.5</v>
      </c>
    </row>
    <row r="8" spans="1:36" ht="14.85" customHeight="1">
      <c r="A8" s="1"/>
      <c r="B8" s="1"/>
      <c r="C8" s="592" t="str">
        <f>'Translate&amp;Prices&amp;Logo'!$B$249</f>
        <v>Klient</v>
      </c>
      <c r="D8" s="592"/>
      <c r="E8" s="592"/>
      <c r="F8" s="592"/>
      <c r="G8" s="592"/>
      <c r="H8" s="348"/>
      <c r="I8" s="593"/>
      <c r="J8" s="593"/>
      <c r="K8" s="593"/>
      <c r="L8" s="593"/>
      <c r="M8" s="593"/>
      <c r="N8" s="593"/>
      <c r="S8" s="1"/>
      <c r="T8" s="1"/>
      <c r="Z8" s="191" t="e">
        <v>#N/A</v>
      </c>
      <c r="AE8" s="1">
        <f>MATCH(AC5,AE5:AJ5,1)</f>
        <v>1</v>
      </c>
      <c r="AF8" s="1"/>
      <c r="AG8" s="1"/>
      <c r="AH8" s="1"/>
      <c r="AI8" s="1"/>
      <c r="AJ8" s="1"/>
    </row>
    <row r="9" spans="1:36" ht="14.85" customHeight="1">
      <c r="A9" s="1"/>
      <c r="B9" s="1"/>
      <c r="C9" s="1"/>
      <c r="D9" s="1"/>
      <c r="E9" s="1"/>
      <c r="F9" s="1"/>
      <c r="G9" s="1"/>
      <c r="H9" s="1"/>
      <c r="I9" s="1"/>
      <c r="J9" s="1"/>
      <c r="K9" s="1"/>
      <c r="L9" s="1"/>
      <c r="M9" s="1"/>
      <c r="N9" s="1"/>
      <c r="S9" s="1"/>
      <c r="T9" s="1"/>
      <c r="U9" s="191" t="e">
        <f>IF(W3=2,'Translate&amp;Prices&amp;Logo'!C94,0)</f>
        <v>#N/A</v>
      </c>
      <c r="V9" s="191" t="s">
        <v>2052</v>
      </c>
      <c r="Z9" s="191" t="e">
        <v>#N/A</v>
      </c>
      <c r="AE9" s="1">
        <f>IF(AND(Hlavní!V39=3,I16="Dostawa na adres"),IF(AE8=6,AJ7,HLOOKUP(AE8,AE6:AI7,2,0)),0)</f>
        <v>0</v>
      </c>
      <c r="AF9" s="1"/>
      <c r="AG9" s="1"/>
      <c r="AH9" s="1"/>
      <c r="AI9" s="1"/>
      <c r="AJ9" s="1"/>
    </row>
    <row r="10" spans="1:36" ht="14.85" customHeight="1">
      <c r="A10" s="1"/>
      <c r="B10" s="1"/>
      <c r="C10" s="592" t="str">
        <f>'Translate&amp;Prices&amp;Logo'!$B$253</f>
        <v>NIP</v>
      </c>
      <c r="D10" s="592"/>
      <c r="E10" s="592"/>
      <c r="F10" s="592"/>
      <c r="G10" s="592"/>
      <c r="H10" s="348"/>
      <c r="I10" s="593"/>
      <c r="J10" s="593"/>
      <c r="K10" s="593"/>
      <c r="L10" s="593"/>
      <c r="M10" s="593"/>
      <c r="N10" s="593"/>
      <c r="S10" s="1"/>
      <c r="T10" s="1"/>
      <c r="U10" s="191">
        <f>IFERROR(IF(W3=3,(VLOOKUP(I27,'Translate&amp;Prices&amp;Logo'!B91:C93,2,0))*((I21/1000)*(I22/1000)),0),0)</f>
        <v>0</v>
      </c>
      <c r="V10" s="191" t="s">
        <v>2053</v>
      </c>
      <c r="Z10" s="191" t="e">
        <v>#N/A</v>
      </c>
    </row>
    <row r="11" spans="1:36" ht="14.85" customHeight="1">
      <c r="A11" s="1"/>
      <c r="B11" s="1"/>
      <c r="C11" s="1"/>
      <c r="D11" s="1"/>
      <c r="E11" s="1"/>
      <c r="F11" s="1"/>
      <c r="G11" s="1"/>
      <c r="H11" s="1"/>
      <c r="I11" s="1"/>
      <c r="J11" s="1"/>
      <c r="K11" s="1"/>
      <c r="L11" s="1"/>
      <c r="M11" s="1"/>
      <c r="N11" s="1"/>
      <c r="S11" s="1"/>
      <c r="T11" s="1"/>
      <c r="Z11" s="191" t="e">
        <v>#N/A</v>
      </c>
    </row>
    <row r="12" spans="1:36" ht="14.85" customHeight="1">
      <c r="A12" s="1"/>
      <c r="B12" s="1"/>
      <c r="C12" s="592" t="str">
        <f>'Translate&amp;Prices&amp;Logo'!$B$250</f>
        <v>Telefon kontaktowy</v>
      </c>
      <c r="D12" s="592"/>
      <c r="E12" s="592"/>
      <c r="F12" s="592"/>
      <c r="G12" s="592"/>
      <c r="H12" s="348"/>
      <c r="I12" s="593"/>
      <c r="J12" s="593"/>
      <c r="K12" s="593"/>
      <c r="L12" s="593"/>
      <c r="M12" s="593"/>
      <c r="N12" s="593"/>
      <c r="S12" s="1"/>
      <c r="T12" s="1"/>
      <c r="V12" s="191" t="str">
        <f>'Translate&amp;Prices&amp;Logo'!B95</f>
        <v>Połysk</v>
      </c>
      <c r="Z12" s="191" t="e">
        <v>#N/A</v>
      </c>
    </row>
    <row r="13" spans="1:36" ht="14.85" customHeight="1">
      <c r="A13" s="1"/>
      <c r="B13" s="1"/>
      <c r="C13" s="1"/>
      <c r="D13" s="1"/>
      <c r="E13" s="1"/>
      <c r="F13" s="1"/>
      <c r="G13" s="1"/>
      <c r="H13" s="1"/>
      <c r="I13" s="1"/>
      <c r="J13" s="1"/>
      <c r="K13" s="1"/>
      <c r="L13" s="1"/>
      <c r="M13" s="1"/>
      <c r="N13" s="1"/>
      <c r="S13" s="1"/>
      <c r="T13" s="1"/>
      <c r="V13" s="191" t="str">
        <f>'Translate&amp;Prices&amp;Logo'!B96</f>
        <v>Matowy</v>
      </c>
      <c r="Z13" s="191" t="e">
        <v>#N/A</v>
      </c>
    </row>
    <row r="14" spans="1:36" ht="14.85" customHeight="1">
      <c r="A14" s="1"/>
      <c r="B14" s="1"/>
      <c r="C14" s="592" t="str">
        <f>'Translate&amp;Prices&amp;Logo'!$B$723</f>
        <v>Rabat</v>
      </c>
      <c r="D14" s="592"/>
      <c r="E14" s="592"/>
      <c r="F14" s="592"/>
      <c r="G14" s="592"/>
      <c r="H14" s="348"/>
      <c r="I14" s="593"/>
      <c r="J14" s="593"/>
      <c r="K14" s="593"/>
      <c r="L14" s="593"/>
      <c r="M14" s="593"/>
      <c r="N14" s="593"/>
      <c r="S14" s="1"/>
      <c r="T14" s="1"/>
      <c r="Z14" s="191" t="e">
        <v>#N/A</v>
      </c>
    </row>
    <row r="15" spans="1:36" ht="14.85" customHeight="1">
      <c r="A15" s="1"/>
      <c r="B15" s="1"/>
      <c r="C15" s="1"/>
      <c r="D15" s="1"/>
      <c r="E15" s="1"/>
      <c r="F15" s="1"/>
      <c r="G15" s="1"/>
      <c r="H15" s="1"/>
      <c r="I15" s="11"/>
      <c r="J15" s="11"/>
      <c r="K15" s="11"/>
      <c r="L15" s="11"/>
      <c r="M15" s="11"/>
      <c r="N15" s="11"/>
      <c r="P15" s="352"/>
      <c r="Q15" s="352"/>
      <c r="R15" s="352"/>
      <c r="S15" s="352"/>
      <c r="T15" s="352"/>
      <c r="Z15" s="191" t="e">
        <v>#N/A</v>
      </c>
    </row>
    <row r="16" spans="1:36" ht="14.85" customHeight="1">
      <c r="A16" s="1"/>
      <c r="B16" s="1"/>
      <c r="C16" s="584" t="str">
        <f>IF(Hlavní!V39=3,"Dostawa","")</f>
        <v>Dostawa</v>
      </c>
      <c r="D16" s="584"/>
      <c r="E16" s="584"/>
      <c r="F16" s="584"/>
      <c r="G16" s="584"/>
      <c r="H16" s="67"/>
      <c r="I16" s="583"/>
      <c r="J16" s="583"/>
      <c r="K16" s="583"/>
      <c r="L16" s="583"/>
      <c r="M16" s="583"/>
      <c r="N16" s="583"/>
      <c r="P16" s="352"/>
      <c r="Q16" s="352"/>
      <c r="R16" s="352"/>
      <c r="S16" s="352"/>
      <c r="T16" s="352"/>
      <c r="V16" s="191" t="e">
        <f>VLOOKUP(I29,'Translate&amp;Prices&amp;Logo'!B95:C96,2,0)</f>
        <v>#N/A</v>
      </c>
      <c r="W16" s="191" t="e">
        <f>V16*(2*(I21/1000))*(2*(I22/1000))</f>
        <v>#N/A</v>
      </c>
      <c r="Z16" s="191" t="e">
        <v>#N/A</v>
      </c>
    </row>
    <row r="17" spans="1:26" ht="48.75" customHeight="1">
      <c r="A17" s="1"/>
      <c r="B17" s="1"/>
      <c r="C17" s="600" t="str">
        <f>IF(I16="Dostawa na adres","W przypadku wyboru DOSTAWA NA ADRES do zamówienia zostanie automatycznie doliczona opłata transportowa","")</f>
        <v/>
      </c>
      <c r="D17" s="600"/>
      <c r="E17" s="600"/>
      <c r="F17" s="600"/>
      <c r="G17" s="600"/>
      <c r="H17" s="600"/>
      <c r="I17" s="600"/>
      <c r="J17" s="600"/>
      <c r="K17" s="600"/>
      <c r="L17" s="600"/>
      <c r="M17" s="600"/>
      <c r="N17" s="600"/>
      <c r="P17" s="352"/>
      <c r="R17" s="596" t="str">
        <f>IF(I16="Dostawa na adres","Cennik transportu - kliknij tutaj","")</f>
        <v/>
      </c>
      <c r="S17" s="596"/>
      <c r="T17" s="596"/>
      <c r="Z17" s="191" t="e">
        <v>#N/A</v>
      </c>
    </row>
    <row r="18" spans="1:26" ht="14.85" customHeight="1">
      <c r="A18" s="1"/>
      <c r="B18" s="1"/>
      <c r="C18" s="584" t="str">
        <f>IF(Hlavní!V39=3,"Adres","")</f>
        <v>Adres</v>
      </c>
      <c r="D18" s="584"/>
      <c r="E18" s="584"/>
      <c r="F18" s="584"/>
      <c r="G18" s="584"/>
      <c r="H18" s="67"/>
      <c r="I18" s="589"/>
      <c r="J18" s="589"/>
      <c r="K18" s="589"/>
      <c r="L18" s="589"/>
      <c r="M18" s="589"/>
      <c r="N18" s="589"/>
      <c r="O18" s="589"/>
      <c r="P18" s="589"/>
      <c r="Q18" s="589"/>
      <c r="R18" s="589"/>
      <c r="S18" s="1"/>
      <c r="T18" s="1"/>
      <c r="Z18" s="191" t="e">
        <v>#N/A</v>
      </c>
    </row>
    <row r="19" spans="1:26" ht="14.85" customHeight="1">
      <c r="A19" s="1"/>
      <c r="B19" s="1"/>
      <c r="I19" s="589"/>
      <c r="J19" s="589"/>
      <c r="K19" s="589"/>
      <c r="L19" s="589"/>
      <c r="M19" s="589"/>
      <c r="N19" s="589"/>
      <c r="O19" s="589"/>
      <c r="P19" s="589"/>
      <c r="Q19" s="589"/>
      <c r="R19" s="589"/>
      <c r="S19" s="1"/>
      <c r="T19" s="1"/>
      <c r="V19" s="191">
        <f>IFERROR((VLOOKUP(I28,'Translate&amp;Prices&amp;Logo'!B99:D163,2,0))*((I21/1000)*(I22/1000))+U9+U10+W16,0)</f>
        <v>0</v>
      </c>
      <c r="Z19" s="191" t="e">
        <v>#N/A</v>
      </c>
    </row>
    <row r="20" spans="1:26" ht="14.85" customHeight="1">
      <c r="A20" s="1"/>
      <c r="B20" s="1"/>
      <c r="S20" s="1"/>
      <c r="T20" s="1"/>
      <c r="Z20" s="191" t="e">
        <v>#N/A</v>
      </c>
    </row>
    <row r="21" spans="1:26" ht="14.85" customHeight="1">
      <c r="A21" s="1"/>
      <c r="B21" s="1"/>
      <c r="C21" s="585" t="str">
        <f>'Translate&amp;Prices&amp;Logo'!$B$175</f>
        <v>Szerokość</v>
      </c>
      <c r="D21" s="586"/>
      <c r="E21" s="586"/>
      <c r="F21" s="586"/>
      <c r="G21" s="586"/>
      <c r="H21" s="155"/>
      <c r="I21" s="594"/>
      <c r="J21" s="594"/>
      <c r="K21" s="594"/>
      <c r="L21" s="594"/>
      <c r="M21" s="594"/>
      <c r="N21" s="594"/>
      <c r="O21" s="594"/>
      <c r="P21" s="594"/>
      <c r="Q21" s="594"/>
      <c r="R21" s="595"/>
      <c r="S21" s="1"/>
      <c r="T21" s="1"/>
      <c r="Z21" s="191" t="e">
        <v>#N/A</v>
      </c>
    </row>
    <row r="22" spans="1:26" ht="14.85" customHeight="1">
      <c r="A22" s="1"/>
      <c r="B22" s="1"/>
      <c r="C22" s="585" t="str">
        <f>'Translate&amp;Prices&amp;Logo'!$B$176</f>
        <v>Wysokość</v>
      </c>
      <c r="D22" s="586"/>
      <c r="E22" s="586"/>
      <c r="F22" s="586"/>
      <c r="G22" s="586"/>
      <c r="H22" s="155"/>
      <c r="I22" s="594"/>
      <c r="J22" s="594"/>
      <c r="K22" s="594"/>
      <c r="L22" s="594"/>
      <c r="M22" s="594"/>
      <c r="N22" s="594"/>
      <c r="O22" s="594"/>
      <c r="P22" s="594"/>
      <c r="Q22" s="594"/>
      <c r="R22" s="595"/>
      <c r="S22" s="1"/>
      <c r="T22" s="1"/>
      <c r="Z22" s="191" t="e">
        <v>#N/A</v>
      </c>
    </row>
    <row r="23" spans="1:26" ht="14.85" customHeight="1">
      <c r="C23" s="175"/>
      <c r="D23" s="173"/>
      <c r="E23" s="173"/>
      <c r="F23" s="173"/>
      <c r="G23" s="173"/>
      <c r="H23" s="1"/>
      <c r="I23" s="1"/>
      <c r="J23" s="1"/>
      <c r="K23" s="1"/>
      <c r="L23" s="1"/>
      <c r="M23" s="1"/>
      <c r="N23" s="1"/>
      <c r="O23" s="1"/>
      <c r="P23" s="1"/>
      <c r="Q23" s="1"/>
      <c r="R23" s="174"/>
      <c r="V23" s="191" t="str">
        <f>'Translate&amp;Prices&amp;Logo'!B91</f>
        <v>transparentna</v>
      </c>
      <c r="Z23" s="191" t="e">
        <v>#N/A</v>
      </c>
    </row>
    <row r="24" spans="1:26" ht="14.85" customHeight="1">
      <c r="C24" s="585" t="str">
        <f>'Translate&amp;Prices&amp;Logo'!$B$173</f>
        <v>Rodzaj szkła</v>
      </c>
      <c r="D24" s="586"/>
      <c r="E24" s="586"/>
      <c r="F24" s="586"/>
      <c r="G24" s="586"/>
      <c r="H24" s="155"/>
      <c r="I24" s="607"/>
      <c r="J24" s="607"/>
      <c r="K24" s="607"/>
      <c r="L24" s="607"/>
      <c r="M24" s="607"/>
      <c r="N24" s="607"/>
      <c r="O24" s="607"/>
      <c r="P24" s="607"/>
      <c r="Q24" s="607"/>
      <c r="R24" s="608"/>
      <c r="V24" s="191" t="str">
        <f>'Translate&amp;Prices&amp;Logo'!B92</f>
        <v>Biała</v>
      </c>
      <c r="Z24" s="191" t="e">
        <v>#N/A</v>
      </c>
    </row>
    <row r="25" spans="1:26" ht="14.85" customHeight="1">
      <c r="C25" s="176"/>
      <c r="D25" s="172"/>
      <c r="E25" s="172"/>
      <c r="F25" s="172"/>
      <c r="G25" s="172"/>
      <c r="H25" s="156"/>
      <c r="I25" s="156"/>
      <c r="J25" s="156"/>
      <c r="K25" s="156"/>
      <c r="L25" s="156"/>
      <c r="M25" s="156"/>
      <c r="N25" s="156"/>
      <c r="O25" s="156"/>
      <c r="P25" s="156"/>
      <c r="Q25" s="156"/>
      <c r="R25" s="156"/>
      <c r="V25" s="191" t="str">
        <f>'Translate&amp;Prices&amp;Logo'!B93</f>
        <v>czarna</v>
      </c>
      <c r="Z25" s="191" t="e">
        <v>#N/A</v>
      </c>
    </row>
    <row r="26" spans="1:26" ht="14.85" customHeight="1">
      <c r="C26" s="176"/>
      <c r="D26" s="172"/>
      <c r="E26" s="172"/>
      <c r="F26" s="172"/>
      <c r="G26" s="172"/>
      <c r="H26" s="156"/>
      <c r="I26" s="590" t="str">
        <f>"↥↥"&amp;"   "&amp;'Translate&amp;Prices&amp;Logo'!$B$573&amp;" "&amp;C28&amp;"   "&amp;"↥↥"</f>
        <v>↥↥   Nie zmieniaj po wybraniu rodzaj szkła/siatka Rodzaj szkła/siatka   ↥↥</v>
      </c>
      <c r="J26" s="590"/>
      <c r="K26" s="590"/>
      <c r="L26" s="590"/>
      <c r="M26" s="590"/>
      <c r="N26" s="590"/>
      <c r="O26" s="590"/>
      <c r="P26" s="590"/>
      <c r="Q26" s="590"/>
      <c r="R26" s="591"/>
      <c r="Z26" s="191" t="e">
        <v>#N/A</v>
      </c>
    </row>
    <row r="27" spans="1:26" ht="14.85" customHeight="1">
      <c r="C27" s="585" t="str">
        <f>'Translate&amp;Prices&amp;Logo'!$B$562</f>
        <v>Rodzaj folii</v>
      </c>
      <c r="D27" s="586"/>
      <c r="E27" s="586"/>
      <c r="F27" s="586"/>
      <c r="G27" s="586"/>
      <c r="H27" s="155"/>
      <c r="I27" s="587"/>
      <c r="J27" s="587"/>
      <c r="K27" s="587"/>
      <c r="L27" s="587"/>
      <c r="M27" s="587"/>
      <c r="N27" s="587"/>
      <c r="O27" s="587"/>
      <c r="P27" s="587"/>
      <c r="Q27" s="587"/>
      <c r="R27" s="588"/>
      <c r="Z27" s="191" t="e">
        <v>#N/A</v>
      </c>
    </row>
    <row r="28" spans="1:26" ht="14.85" customHeight="1">
      <c r="C28" s="585" t="str">
        <f>'Translate&amp;Prices&amp;Logo'!$B$625</f>
        <v>Rodzaj szkła/siatka</v>
      </c>
      <c r="D28" s="586"/>
      <c r="E28" s="586"/>
      <c r="F28" s="586"/>
      <c r="G28" s="586"/>
      <c r="H28" s="155"/>
      <c r="I28" s="587"/>
      <c r="J28" s="587"/>
      <c r="K28" s="587"/>
      <c r="L28" s="587"/>
      <c r="M28" s="587"/>
      <c r="N28" s="587"/>
      <c r="O28" s="587"/>
      <c r="P28" s="587"/>
      <c r="Q28" s="587"/>
      <c r="R28" s="588"/>
      <c r="Z28" s="191" t="e">
        <v>#N/A</v>
      </c>
    </row>
    <row r="29" spans="1:26" ht="14.85" customHeight="1">
      <c r="C29" s="585" t="str">
        <f>'Translate&amp;Prices&amp;Logo'!$B$658</f>
        <v>Szlifowanie krawędzi</v>
      </c>
      <c r="D29" s="586"/>
      <c r="E29" s="586"/>
      <c r="F29" s="586"/>
      <c r="G29" s="586"/>
      <c r="H29" s="155"/>
      <c r="I29" s="587"/>
      <c r="J29" s="587"/>
      <c r="K29" s="587"/>
      <c r="L29" s="587"/>
      <c r="M29" s="587"/>
      <c r="N29" s="587"/>
      <c r="O29" s="587"/>
      <c r="P29" s="587"/>
      <c r="Q29" s="587"/>
      <c r="R29" s="588"/>
      <c r="Z29" s="191" t="e">
        <v>#N/A</v>
      </c>
    </row>
    <row r="30" spans="1:26" ht="14.85" customHeight="1">
      <c r="C30" s="585" t="str">
        <f>('Translate&amp;Prices&amp;Logo'!$B$174)</f>
        <v>Ilość sztuk</v>
      </c>
      <c r="D30" s="586"/>
      <c r="E30" s="586"/>
      <c r="F30" s="586"/>
      <c r="G30" s="586"/>
      <c r="H30" s="155"/>
      <c r="I30" s="587"/>
      <c r="J30" s="587"/>
      <c r="K30" s="587"/>
      <c r="L30" s="587"/>
      <c r="M30" s="587"/>
      <c r="N30" s="587"/>
      <c r="O30" s="587"/>
      <c r="P30" s="587"/>
      <c r="Q30" s="587"/>
      <c r="R30" s="588"/>
      <c r="Z30" s="191" t="e">
        <v>#N/A</v>
      </c>
    </row>
    <row r="31" spans="1:26" ht="14.85" customHeight="1">
      <c r="C31" s="177"/>
      <c r="D31" s="1"/>
      <c r="E31" s="1"/>
      <c r="F31" s="1"/>
      <c r="G31" s="1"/>
      <c r="H31" s="1"/>
      <c r="I31" s="1"/>
      <c r="J31" s="1"/>
      <c r="K31" s="1"/>
      <c r="L31" s="1"/>
      <c r="M31" s="1"/>
      <c r="N31" s="1"/>
      <c r="O31" s="1"/>
      <c r="P31" s="1"/>
      <c r="Q31" s="1"/>
      <c r="R31" s="174"/>
      <c r="Z31" s="191" t="e">
        <v>#N/A</v>
      </c>
    </row>
    <row r="32" spans="1:26" ht="14.85" customHeight="1">
      <c r="C32" s="601" t="str">
        <f>'Translate&amp;Prices&amp;Logo'!$B$692</f>
        <v>Suma</v>
      </c>
      <c r="D32" s="602"/>
      <c r="E32" s="602"/>
      <c r="F32" s="602"/>
      <c r="G32" s="602"/>
      <c r="H32" s="602"/>
      <c r="I32" s="602"/>
      <c r="J32" s="602"/>
      <c r="K32" s="602"/>
      <c r="L32" s="605"/>
      <c r="M32" s="609">
        <f>V19*I30*(1-I14/100)</f>
        <v>0</v>
      </c>
      <c r="N32" s="609"/>
      <c r="O32" s="609"/>
      <c r="P32" s="609"/>
      <c r="Q32" s="609"/>
      <c r="R32" s="611" t="str">
        <f>VLOOKUP('Translate&amp;Prices&amp;Logo'!D1,'závěsy dle výklopu'!A204:B209,2,0)</f>
        <v>zl</v>
      </c>
      <c r="Z32" s="191" t="e">
        <v>#N/A</v>
      </c>
    </row>
    <row r="33" spans="3:26" ht="14.85" customHeight="1">
      <c r="C33" s="603"/>
      <c r="D33" s="604"/>
      <c r="E33" s="604"/>
      <c r="F33" s="604"/>
      <c r="G33" s="604"/>
      <c r="H33" s="604"/>
      <c r="I33" s="604"/>
      <c r="J33" s="604"/>
      <c r="K33" s="604"/>
      <c r="L33" s="606"/>
      <c r="M33" s="610"/>
      <c r="N33" s="610"/>
      <c r="O33" s="610"/>
      <c r="P33" s="610"/>
      <c r="Q33" s="610"/>
      <c r="R33" s="612"/>
      <c r="Z33" s="191" t="e">
        <v>#N/A</v>
      </c>
    </row>
    <row r="34" spans="3:26" ht="14.85" customHeight="1">
      <c r="Z34" s="191" t="e">
        <v>#N/A</v>
      </c>
    </row>
    <row r="35" spans="3:26" ht="14.85" customHeight="1">
      <c r="C35" s="598" t="str">
        <f>IF(I16="Dostawa na adres","Koszt transportu","")</f>
        <v/>
      </c>
      <c r="D35" s="598"/>
      <c r="E35" s="598"/>
      <c r="F35" s="598"/>
      <c r="G35" s="598"/>
      <c r="H35" s="598"/>
      <c r="I35" s="598"/>
      <c r="J35" s="598"/>
      <c r="K35" s="598"/>
      <c r="L35" s="599"/>
      <c r="M35" s="613" t="str">
        <f>IF(I16="Dostawa na adres",I30*AE9,"")</f>
        <v/>
      </c>
      <c r="N35" s="613"/>
      <c r="O35" s="613"/>
      <c r="P35" s="613"/>
      <c r="Q35" s="613"/>
      <c r="R35" s="597" t="str">
        <f>VLOOKUP('Translate&amp;Prices&amp;Logo'!D1,'závěsy dle výklopu'!A204:B209,2,0)</f>
        <v>zl</v>
      </c>
      <c r="Z35" s="191" t="e">
        <v>#N/A</v>
      </c>
    </row>
    <row r="36" spans="3:26" ht="14.85" customHeight="1">
      <c r="C36" s="598"/>
      <c r="D36" s="598"/>
      <c r="E36" s="598"/>
      <c r="F36" s="598"/>
      <c r="G36" s="598"/>
      <c r="H36" s="598"/>
      <c r="I36" s="598"/>
      <c r="J36" s="598"/>
      <c r="K36" s="598"/>
      <c r="L36" s="599"/>
      <c r="M36" s="613"/>
      <c r="N36" s="613"/>
      <c r="O36" s="613"/>
      <c r="P36" s="613"/>
      <c r="Q36" s="613"/>
      <c r="R36" s="597"/>
      <c r="Z36" s="191" t="e">
        <v>#N/A</v>
      </c>
    </row>
    <row r="37" spans="3:26" ht="14.85" customHeight="1">
      <c r="Z37" s="191" t="e">
        <v>#N/A</v>
      </c>
    </row>
    <row r="38" spans="3:26" ht="14.85" hidden="1" customHeight="1">
      <c r="Z38" s="191" t="e">
        <v>#N/A</v>
      </c>
    </row>
    <row r="39" spans="3:26" ht="14.85" hidden="1" customHeight="1">
      <c r="Z39" s="191" t="e">
        <v>#N/A</v>
      </c>
    </row>
    <row r="40" spans="3:26" ht="14.85" hidden="1" customHeight="1">
      <c r="Z40" s="191" t="e">
        <v>#N/A</v>
      </c>
    </row>
    <row r="41" spans="3:26" ht="14.85" hidden="1" customHeight="1">
      <c r="Z41" s="191" t="e">
        <v>#N/A</v>
      </c>
    </row>
    <row r="42" spans="3:26" ht="14.85" hidden="1" customHeight="1">
      <c r="Z42" s="191" t="e">
        <v>#N/A</v>
      </c>
    </row>
    <row r="43" spans="3:26" ht="14.85" hidden="1" customHeight="1">
      <c r="Z43" s="191" t="e">
        <v>#N/A</v>
      </c>
    </row>
    <row r="44" spans="3:26" ht="14.85" hidden="1" customHeight="1">
      <c r="Z44" s="191" t="e">
        <v>#N/A</v>
      </c>
    </row>
    <row r="45" spans="3:26" ht="14.85" hidden="1" customHeight="1">
      <c r="Z45" s="191" t="e">
        <v>#N/A</v>
      </c>
    </row>
    <row r="46" spans="3:26" ht="14.85" hidden="1" customHeight="1">
      <c r="Z46" s="191" t="e">
        <v>#N/A</v>
      </c>
    </row>
    <row r="47" spans="3:26" ht="14.85" hidden="1" customHeight="1">
      <c r="Z47" s="191" t="e">
        <v>#N/A</v>
      </c>
    </row>
    <row r="48" spans="3:26" ht="14.85" hidden="1" customHeight="1">
      <c r="Z48" s="191" t="e">
        <v>#N/A</v>
      </c>
    </row>
    <row r="49" spans="26:26" ht="14.85" hidden="1" customHeight="1">
      <c r="Z49" s="191" t="e">
        <v>#N/A</v>
      </c>
    </row>
    <row r="50" spans="26:26" ht="14.85" hidden="1" customHeight="1">
      <c r="Z50" s="191" t="e">
        <v>#N/A</v>
      </c>
    </row>
    <row r="51" spans="26:26" ht="14.85" hidden="1" customHeight="1">
      <c r="Z51" s="191" t="e">
        <v>#N/A</v>
      </c>
    </row>
    <row r="52" spans="26:26" ht="14.85" hidden="1" customHeight="1">
      <c r="Z52" s="191" t="e">
        <v>#N/A</v>
      </c>
    </row>
    <row r="53" spans="26:26" ht="14.85" hidden="1" customHeight="1">
      <c r="Z53" s="191" t="e">
        <v>#N/A</v>
      </c>
    </row>
    <row r="54" spans="26:26" ht="14.85" hidden="1" customHeight="1">
      <c r="Z54" s="191" t="e">
        <v>#N/A</v>
      </c>
    </row>
    <row r="55" spans="26:26" ht="14.85" hidden="1" customHeight="1">
      <c r="Z55" s="191" t="e">
        <v>#N/A</v>
      </c>
    </row>
    <row r="56" spans="26:26" ht="14.85" hidden="1" customHeight="1">
      <c r="Z56" s="191" t="e">
        <v>#N/A</v>
      </c>
    </row>
    <row r="57" spans="26:26" ht="14.85" hidden="1" customHeight="1">
      <c r="Z57" s="191" t="e">
        <v>#N/A</v>
      </c>
    </row>
    <row r="58" spans="26:26" ht="14.85" hidden="1" customHeight="1">
      <c r="Z58" s="191" t="e">
        <v>#N/A</v>
      </c>
    </row>
    <row r="59" spans="26:26" ht="14.85" hidden="1" customHeight="1">
      <c r="Z59" s="191" t="e">
        <v>#N/A</v>
      </c>
    </row>
    <row r="60" spans="26:26" ht="14.85" hidden="1" customHeight="1">
      <c r="Z60" s="191" t="e">
        <v>#N/A</v>
      </c>
    </row>
    <row r="61" spans="26:26" ht="14.85" hidden="1" customHeight="1">
      <c r="Z61" s="191" t="e">
        <v>#N/A</v>
      </c>
    </row>
    <row r="62" spans="26:26" ht="14.85" hidden="1" customHeight="1">
      <c r="Z62" s="191" t="e">
        <v>#N/A</v>
      </c>
    </row>
    <row r="63" spans="26:26" ht="14.85" hidden="1" customHeight="1">
      <c r="Z63" s="191" t="e">
        <v>#N/A</v>
      </c>
    </row>
    <row r="64" spans="26:26" ht="14.85" hidden="1" customHeight="1">
      <c r="Z64" s="191" t="e">
        <v>#N/A</v>
      </c>
    </row>
  </sheetData>
  <sheetProtection algorithmName="SHA-512" hashValue="x88UUL7nC07udm0eU750YLPBfuS6k57Zrrlqa8ZyE+YexYUWA/0rysCfQcTnOmRvFBbtgFCjYAQr6nS018AIpA==" saltValue="PAJzox45+cJNCujawRFLwg==" spinCount="100000" sheet="1" objects="1" scenarios="1"/>
  <mergeCells count="38">
    <mergeCell ref="R35:R36"/>
    <mergeCell ref="C35:K36"/>
    <mergeCell ref="L35:L36"/>
    <mergeCell ref="C17:N17"/>
    <mergeCell ref="C32:K33"/>
    <mergeCell ref="L32:L33"/>
    <mergeCell ref="I22:R22"/>
    <mergeCell ref="I28:R28"/>
    <mergeCell ref="I24:R24"/>
    <mergeCell ref="C28:G28"/>
    <mergeCell ref="C29:G29"/>
    <mergeCell ref="C30:G30"/>
    <mergeCell ref="M32:Q33"/>
    <mergeCell ref="R32:R33"/>
    <mergeCell ref="M35:Q36"/>
    <mergeCell ref="Q2:T3"/>
    <mergeCell ref="I26:R26"/>
    <mergeCell ref="C27:G27"/>
    <mergeCell ref="I27:R27"/>
    <mergeCell ref="C8:G8"/>
    <mergeCell ref="I8:N8"/>
    <mergeCell ref="C10:G10"/>
    <mergeCell ref="I10:N10"/>
    <mergeCell ref="C12:G12"/>
    <mergeCell ref="I12:N12"/>
    <mergeCell ref="C14:G14"/>
    <mergeCell ref="I14:N14"/>
    <mergeCell ref="C16:G16"/>
    <mergeCell ref="C24:G24"/>
    <mergeCell ref="I21:R21"/>
    <mergeCell ref="R17:T17"/>
    <mergeCell ref="I16:N16"/>
    <mergeCell ref="C18:G18"/>
    <mergeCell ref="C21:G21"/>
    <mergeCell ref="C22:G22"/>
    <mergeCell ref="I30:R30"/>
    <mergeCell ref="I18:R19"/>
    <mergeCell ref="I29:R29"/>
  </mergeCells>
  <conditionalFormatting sqref="C18">
    <cfRule type="expression" dxfId="899" priority="13">
      <formula>$I$16="Dostawa na adres"</formula>
    </cfRule>
  </conditionalFormatting>
  <conditionalFormatting sqref="C35:K36">
    <cfRule type="expression" dxfId="897" priority="5">
      <formula>$I$16="Dostawa na adres"</formula>
    </cfRule>
  </conditionalFormatting>
  <conditionalFormatting sqref="C27:R27">
    <cfRule type="expression" dxfId="896" priority="18">
      <formula>$W$3&lt;3</formula>
    </cfRule>
  </conditionalFormatting>
  <conditionalFormatting sqref="H18">
    <cfRule type="expression" dxfId="894" priority="12">
      <formula>$I$16="Dostawa na adres"</formula>
    </cfRule>
  </conditionalFormatting>
  <conditionalFormatting sqref="I18">
    <cfRule type="expression" dxfId="892" priority="6">
      <formula>$I$16="Dostawa na adres"</formula>
    </cfRule>
  </conditionalFormatting>
  <conditionalFormatting sqref="I18:R19">
    <cfRule type="expression" dxfId="891" priority="2">
      <formula>$I$16="Dostawa na adres"</formula>
    </cfRule>
  </conditionalFormatting>
  <conditionalFormatting sqref="L35:L36">
    <cfRule type="expression" dxfId="890" priority="4">
      <formula>$I$16="Dostawa na adres"</formula>
    </cfRule>
  </conditionalFormatting>
  <conditionalFormatting sqref="M35 R35">
    <cfRule type="expression" dxfId="889" priority="3">
      <formula>$I$16="Dostawa na adres"</formula>
    </cfRule>
  </conditionalFormatting>
  <dataValidations count="5">
    <dataValidation type="list" allowBlank="1" showInputMessage="1" showErrorMessage="1" sqref="I28:R28" xr:uid="{61D1B74F-917C-4EB6-8BF4-83821F72F66F}">
      <formula1>IF(W3=1,_N1,IF(W3=2,_N2,IF(W3=3,_N3)))</formula1>
    </dataValidation>
    <dataValidation type="list" allowBlank="1" showInputMessage="1" showErrorMessage="1" sqref="I24:R24" xr:uid="{216DBCF4-0D6D-44AD-BDE4-37E3643D616D}">
      <formula1>$V$5:$V$7</formula1>
    </dataValidation>
    <dataValidation type="list" allowBlank="1" showInputMessage="1" showErrorMessage="1" sqref="I29:R29" xr:uid="{5F03700A-BBB0-4AA8-8B7A-338B31EC295D}">
      <formula1>$V$12:$V$13</formula1>
    </dataValidation>
    <dataValidation type="list" allowBlank="1" showInputMessage="1" showErrorMessage="1" sqref="I27:R27" xr:uid="{717489E0-CC8F-4AFC-83F0-0A7820DCFAB4}">
      <formula1>$V$23:$V$25</formula1>
    </dataValidation>
    <dataValidation type="list" allowBlank="1" showInputMessage="1" showErrorMessage="1" sqref="I16:N16" xr:uid="{9AF33392-8281-410B-BEF2-453BA0FB1392}">
      <formula1>"Odbiór osobisty w Demos Katowice,Dostawa na adres"</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workbookViewId="0"/>
  </sheetViews>
  <sheetFormatPr defaultColWidth="15.5703125" defaultRowHeight="16.350000000000001" customHeight="1"/>
  <cols>
    <col min="1" max="2" width="31.5703125" style="75" bestFit="1" customWidth="1"/>
    <col min="3" max="3" width="14" style="75" bestFit="1" customWidth="1"/>
    <col min="4" max="4" width="43.42578125" style="75" customWidth="1"/>
    <col min="5" max="5" width="29.5703125" style="75" bestFit="1" customWidth="1"/>
    <col min="6" max="6" width="11.5703125" style="75" bestFit="1" customWidth="1"/>
    <col min="7" max="7" width="54.42578125" style="75" bestFit="1" customWidth="1"/>
    <col min="8" max="23" width="22.5703125" style="76" customWidth="1"/>
    <col min="27" max="28" width="15.5703125" style="75"/>
    <col min="29" max="29" width="21.5703125" style="75" bestFit="1" customWidth="1"/>
    <col min="30" max="30" width="5.5703125" style="75" customWidth="1"/>
    <col min="31" max="31" width="36.140625" style="75" customWidth="1"/>
    <col min="32" max="16384" width="15.5703125" style="75"/>
  </cols>
  <sheetData>
    <row r="1" spans="1:31" s="73" customFormat="1" ht="16.350000000000001" customHeight="1">
      <c r="A1" s="73" t="s">
        <v>1190</v>
      </c>
      <c r="B1" s="73" t="s">
        <v>1191</v>
      </c>
      <c r="C1" s="73" t="s">
        <v>1192</v>
      </c>
      <c r="E1" s="73" t="s">
        <v>1193</v>
      </c>
      <c r="F1" s="73" t="s">
        <v>128</v>
      </c>
      <c r="G1" s="73" t="s">
        <v>1204</v>
      </c>
      <c r="H1" s="74" t="s">
        <v>1194</v>
      </c>
      <c r="I1" s="74" t="s">
        <v>1195</v>
      </c>
      <c r="J1" s="74" t="s">
        <v>1196</v>
      </c>
      <c r="K1" s="74" t="str">
        <f>'Translate&amp;Prices&amp;Logo'!$B$628</f>
        <v>krzyżakowy, wkręt</v>
      </c>
      <c r="L1" s="74">
        <v>6</v>
      </c>
      <c r="M1" s="74" t="str">
        <f>'Translate&amp;Prices&amp;Logo'!$B$629</f>
        <v>na wkręt (z mimośrodem)</v>
      </c>
      <c r="N1" s="74">
        <v>8</v>
      </c>
      <c r="O1" s="74" t="str">
        <f>'Translate&amp;Prices&amp;Logo'!$B$630</f>
        <v>krzyżakowy eurowkręt</v>
      </c>
      <c r="P1" s="74">
        <v>10</v>
      </c>
      <c r="Q1" s="74" t="str">
        <f>'Translate&amp;Prices&amp;Logo'!$B$631</f>
        <v>krzyżakowy expando</v>
      </c>
      <c r="R1" s="74">
        <v>12</v>
      </c>
      <c r="S1" s="74" t="str">
        <f>'Translate&amp;Prices&amp;Logo'!$B$632</f>
        <v>prosty wkręt</v>
      </c>
      <c r="T1" s="74">
        <v>14</v>
      </c>
      <c r="U1" s="74" t="str">
        <f>'Translate&amp;Prices&amp;Logo'!$B$633</f>
        <v>prosty eurowkręt</v>
      </c>
      <c r="V1" s="74">
        <v>16</v>
      </c>
      <c r="W1" s="74" t="str">
        <f>'Translate&amp;Prices&amp;Logo'!$B$634</f>
        <v>prosty expando</v>
      </c>
      <c r="X1" s="73">
        <v>18</v>
      </c>
      <c r="AC1" s="74" t="str">
        <f>$K$1</f>
        <v>krzyżakowy, wkręt</v>
      </c>
      <c r="AD1" s="217">
        <v>6</v>
      </c>
      <c r="AE1" s="73" t="e">
        <f>VLOOKUP(Ram_1!$H$15,$G:$X,AD1,0)</f>
        <v>#N/A</v>
      </c>
    </row>
    <row r="2" spans="1:31" ht="16.350000000000001" customHeight="1">
      <c r="A2" s="80" t="s">
        <v>1197</v>
      </c>
      <c r="B2" s="80" t="s">
        <v>2</v>
      </c>
      <c r="C2" s="80" t="str">
        <f>'Translate&amp;Prices&amp;Logo'!B553</f>
        <v>Nakładany</v>
      </c>
      <c r="D2" s="73" t="str">
        <f>VLOOKUP(CONCATENATE(A2,"_",B2,"_",C2),$A$69:$B$383,2,0)</f>
        <v>úzký_BLUM_Naložený</v>
      </c>
      <c r="E2" s="80" t="str">
        <f>'Translate&amp;Prices&amp;Logo'!$B$582</f>
        <v>ze sprężyną z tłumieniem</v>
      </c>
      <c r="F2" s="75" t="str">
        <f>'Translate&amp;Prices&amp;Logo'!$B$585</f>
        <v>srebro</v>
      </c>
      <c r="G2" s="75" t="str">
        <f>CONCATENATE(H2," ","-"," ",C2," ",E2," - ",F2)</f>
        <v>118033 - Nakładany ze sprężyną z tłumieniem - srebro</v>
      </c>
      <c r="H2" s="76">
        <v>118033</v>
      </c>
      <c r="I2" s="76" t="s">
        <v>1199</v>
      </c>
      <c r="J2" s="76" t="s">
        <v>1199</v>
      </c>
      <c r="K2" s="76">
        <v>12306</v>
      </c>
      <c r="L2" s="76" t="str">
        <f>CONCATENATE($K$1," - ",K2)</f>
        <v>krzyżakowy, wkręt - 12306</v>
      </c>
      <c r="M2" s="76" t="s">
        <v>2243</v>
      </c>
      <c r="N2" s="76" t="str">
        <f>CONCATENATE($M$1," - ",M2)</f>
        <v>na wkręt (z mimośrodem) - N/A</v>
      </c>
      <c r="O2" s="76">
        <v>12318</v>
      </c>
      <c r="P2" s="76" t="str">
        <f>CONCATENATE($O$1," - ",O2)</f>
        <v>krzyżakowy eurowkręt - 12318</v>
      </c>
      <c r="Q2" s="76">
        <v>12302</v>
      </c>
      <c r="R2" s="76" t="str">
        <f>CONCATENATE($Q$1," - ",Q2)</f>
        <v>krzyżakowy expando - 12302</v>
      </c>
      <c r="S2" s="76">
        <v>203387</v>
      </c>
      <c r="T2" s="76" t="str">
        <f>CONCATENATE($S$1," - ",S2)</f>
        <v>prosty wkręt - 203387</v>
      </c>
      <c r="U2" s="76">
        <v>346624</v>
      </c>
      <c r="V2" s="76" t="str">
        <f>CONCATENATE($U$1," - ",U2)</f>
        <v>prosty eurowkręt - 346624</v>
      </c>
      <c r="W2" s="76">
        <v>211476</v>
      </c>
      <c r="X2" s="76" t="str">
        <f>CONCATENATE($W$1," - ",W2)</f>
        <v>prosty expando - 211476</v>
      </c>
      <c r="Y2" s="75"/>
      <c r="Z2" s="75"/>
      <c r="AC2" s="74" t="str">
        <f>$M$1</f>
        <v>na wkręt (z mimośrodem)</v>
      </c>
      <c r="AD2" s="75">
        <v>8</v>
      </c>
      <c r="AE2" s="73" t="e">
        <f>VLOOKUP(Ram_1!$H$15,$G:$X,AD2,0)</f>
        <v>#N/A</v>
      </c>
    </row>
    <row r="3" spans="1:31" ht="16.350000000000001" customHeight="1">
      <c r="A3" s="80" t="s">
        <v>1197</v>
      </c>
      <c r="B3" s="80" t="s">
        <v>2</v>
      </c>
      <c r="C3" s="80" t="str">
        <f>'Translate&amp;Prices&amp;Logo'!B553</f>
        <v>Nakładany</v>
      </c>
      <c r="D3" s="73" t="str">
        <f t="shared" ref="D3:D66" si="0">VLOOKUP(CONCATENATE(A3,"_",B3,"_",C3),$A$69:$B$383,2,0)</f>
        <v>úzký_BLUM_Naložený</v>
      </c>
      <c r="E3" s="80" t="str">
        <f>'Translate&amp;Prices&amp;Logo'!$B$583</f>
        <v>ze sprężyną bez tłumienia</v>
      </c>
      <c r="F3" s="75" t="str">
        <f>'Translate&amp;Prices&amp;Logo'!$B$585</f>
        <v>srebro</v>
      </c>
      <c r="G3" s="75" t="str">
        <f t="shared" ref="G3:G20" si="1">CONCATENATE(H3," ","-"," ",C3," ",E3," - ",F3)</f>
        <v>12106 - Nakładany ze sprężyną bez tłumienia - srebro</v>
      </c>
      <c r="H3" s="76">
        <v>12106</v>
      </c>
      <c r="I3" s="76" t="s">
        <v>1199</v>
      </c>
      <c r="J3" s="76" t="s">
        <v>1199</v>
      </c>
      <c r="K3" s="76">
        <v>12306</v>
      </c>
      <c r="L3" s="76" t="str">
        <f t="shared" ref="L3:L66" si="2">CONCATENATE($K$1," - ",K3)</f>
        <v>krzyżakowy, wkręt - 12306</v>
      </c>
      <c r="M3" s="76" t="s">
        <v>2243</v>
      </c>
      <c r="N3" s="76" t="str">
        <f t="shared" ref="N3:N66" si="3">CONCATENATE($M$1," - ",M3)</f>
        <v>na wkręt (z mimośrodem) - N/A</v>
      </c>
      <c r="O3" s="76">
        <v>12318</v>
      </c>
      <c r="P3" s="76" t="str">
        <f t="shared" ref="P3:P66" si="4">CONCATENATE($O$1," - ",O3)</f>
        <v>krzyżakowy eurowkręt - 12318</v>
      </c>
      <c r="Q3" s="76">
        <v>12302</v>
      </c>
      <c r="R3" s="76" t="str">
        <f t="shared" ref="R3:R66" si="5">CONCATENATE($Q$1," - ",Q3)</f>
        <v>krzyżakowy expando - 12302</v>
      </c>
      <c r="S3" s="76">
        <v>203387</v>
      </c>
      <c r="T3" s="76" t="str">
        <f t="shared" ref="T3:T66" si="6">CONCATENATE($S$1," - ",S3)</f>
        <v>prosty wkręt - 203387</v>
      </c>
      <c r="U3" s="76">
        <v>346624</v>
      </c>
      <c r="V3" s="76" t="str">
        <f t="shared" ref="V3:V66" si="7">CONCATENATE($U$1," - ",U3)</f>
        <v>prosty eurowkręt - 346624</v>
      </c>
      <c r="W3" s="76">
        <v>211476</v>
      </c>
      <c r="X3" s="76" t="str">
        <f t="shared" ref="X3:X66" si="8">CONCATENATE($W$1," - ",W3)</f>
        <v>prosty expando - 211476</v>
      </c>
      <c r="Y3" s="75"/>
      <c r="Z3" s="75"/>
      <c r="AC3" s="74" t="str">
        <f>$O$1</f>
        <v>krzyżakowy eurowkręt</v>
      </c>
      <c r="AD3" s="217">
        <v>10</v>
      </c>
      <c r="AE3" s="73" t="e">
        <f>VLOOKUP(Ram_1!$H$15,$G:$X,AD3,0)</f>
        <v>#N/A</v>
      </c>
    </row>
    <row r="4" spans="1:31" ht="16.350000000000001" customHeight="1">
      <c r="A4" s="80" t="s">
        <v>1197</v>
      </c>
      <c r="B4" s="80" t="s">
        <v>2</v>
      </c>
      <c r="C4" s="80" t="str">
        <f>'Translate&amp;Prices&amp;Logo'!B553</f>
        <v>Nakładany</v>
      </c>
      <c r="D4" s="73" t="str">
        <f t="shared" si="0"/>
        <v>úzký_BLUM_Naložený</v>
      </c>
      <c r="E4" s="80" t="str">
        <f>'Translate&amp;Prices&amp;Logo'!$B$583</f>
        <v>ze sprężyną bez tłumienia</v>
      </c>
      <c r="F4" s="75" t="s">
        <v>2706</v>
      </c>
      <c r="G4" s="75" t="str">
        <f t="shared" si="1"/>
        <v>306329 - Nakładany ze sprężyną bez tłumienia - onyx</v>
      </c>
      <c r="H4" s="76">
        <v>306329</v>
      </c>
      <c r="I4" s="76" t="s">
        <v>1199</v>
      </c>
      <c r="J4" s="76" t="s">
        <v>1199</v>
      </c>
      <c r="K4" s="76">
        <v>458360</v>
      </c>
      <c r="L4" s="76" t="str">
        <f t="shared" si="2"/>
        <v>krzyżakowy, wkręt - 458360</v>
      </c>
      <c r="M4" s="76" t="s">
        <v>2243</v>
      </c>
      <c r="N4" s="76" t="str">
        <f t="shared" si="3"/>
        <v>na wkręt (z mimośrodem) - N/A</v>
      </c>
      <c r="O4" s="76" t="s">
        <v>2243</v>
      </c>
      <c r="P4" s="76" t="str">
        <f t="shared" si="4"/>
        <v>krzyżakowy eurowkręt - N/A</v>
      </c>
      <c r="Q4" s="76">
        <v>347124</v>
      </c>
      <c r="R4" s="76" t="str">
        <f t="shared" si="5"/>
        <v>krzyżakowy expando - 347124</v>
      </c>
      <c r="S4" s="76">
        <v>306320</v>
      </c>
      <c r="T4" s="76" t="str">
        <f t="shared" si="6"/>
        <v>prosty wkręt - 306320</v>
      </c>
      <c r="U4" s="76" t="s">
        <v>2243</v>
      </c>
      <c r="V4" s="76" t="str">
        <f t="shared" si="7"/>
        <v>prosty eurowkręt - N/A</v>
      </c>
      <c r="W4" s="76">
        <v>409651</v>
      </c>
      <c r="X4" s="76" t="str">
        <f t="shared" si="8"/>
        <v>prosty expando - 409651</v>
      </c>
      <c r="Y4" s="75"/>
      <c r="Z4" s="75"/>
      <c r="AC4" s="74" t="str">
        <f>$Q$1</f>
        <v>krzyżakowy expando</v>
      </c>
      <c r="AD4" s="75">
        <v>12</v>
      </c>
      <c r="AE4" s="73" t="e">
        <f>VLOOKUP(Ram_1!$H$15,$G:$X,AD4,0)</f>
        <v>#N/A</v>
      </c>
    </row>
    <row r="5" spans="1:31" ht="16.350000000000001" customHeight="1">
      <c r="A5" s="80" t="s">
        <v>1197</v>
      </c>
      <c r="B5" s="80" t="s">
        <v>2</v>
      </c>
      <c r="C5" s="80" t="str">
        <f>'Translate&amp;Prices&amp;Logo'!B553</f>
        <v>Nakładany</v>
      </c>
      <c r="D5" s="73" t="str">
        <f t="shared" si="0"/>
        <v>úzký_BLUM_Naložený</v>
      </c>
      <c r="E5" s="80" t="str">
        <f>'Translate&amp;Prices&amp;Logo'!$B$584</f>
        <v>tip-on bez sprężyny/tłumienie</v>
      </c>
      <c r="F5" s="75" t="str">
        <f>'Translate&amp;Prices&amp;Logo'!$B$585</f>
        <v>srebro</v>
      </c>
      <c r="G5" s="75" t="str">
        <f t="shared" si="1"/>
        <v>12109 - Nakładany tip-on bez sprężyny/tłumienie - srebro</v>
      </c>
      <c r="H5" s="76">
        <v>12109</v>
      </c>
      <c r="I5" s="76" t="s">
        <v>1199</v>
      </c>
      <c r="J5" s="76">
        <v>13764</v>
      </c>
      <c r="K5" s="76">
        <v>12306</v>
      </c>
      <c r="L5" s="76" t="str">
        <f t="shared" si="2"/>
        <v>krzyżakowy, wkręt - 12306</v>
      </c>
      <c r="M5" s="76" t="s">
        <v>2243</v>
      </c>
      <c r="N5" s="76" t="str">
        <f t="shared" si="3"/>
        <v>na wkręt (z mimośrodem) - N/A</v>
      </c>
      <c r="O5" s="76">
        <v>12318</v>
      </c>
      <c r="P5" s="76" t="str">
        <f t="shared" si="4"/>
        <v>krzyżakowy eurowkręt - 12318</v>
      </c>
      <c r="Q5" s="76">
        <v>12302</v>
      </c>
      <c r="R5" s="76" t="str">
        <f t="shared" si="5"/>
        <v>krzyżakowy expando - 12302</v>
      </c>
      <c r="S5" s="76">
        <v>203387</v>
      </c>
      <c r="T5" s="76" t="str">
        <f t="shared" si="6"/>
        <v>prosty wkręt - 203387</v>
      </c>
      <c r="U5" s="76">
        <v>346624</v>
      </c>
      <c r="V5" s="76" t="str">
        <f t="shared" si="7"/>
        <v>prosty eurowkręt - 346624</v>
      </c>
      <c r="W5" s="76">
        <v>211476</v>
      </c>
      <c r="X5" s="76" t="str">
        <f t="shared" si="8"/>
        <v>prosty expando - 211476</v>
      </c>
      <c r="Y5" s="75"/>
      <c r="Z5" s="75"/>
      <c r="AC5" s="74" t="str">
        <f>$S$1</f>
        <v>prosty wkręt</v>
      </c>
      <c r="AD5" s="217">
        <v>14</v>
      </c>
      <c r="AE5" s="73" t="e">
        <f>VLOOKUP(Ram_1!$H$15,$G:$X,AD5,0)</f>
        <v>#N/A</v>
      </c>
    </row>
    <row r="6" spans="1:31" ht="16.350000000000001" customHeight="1">
      <c r="A6" s="80" t="s">
        <v>1197</v>
      </c>
      <c r="B6" s="80" t="s">
        <v>2</v>
      </c>
      <c r="C6" s="80" t="str">
        <f>'Translate&amp;Prices&amp;Logo'!B553</f>
        <v>Nakładany</v>
      </c>
      <c r="D6" s="73" t="str">
        <f t="shared" ref="D6" si="9">VLOOKUP(CONCATENATE(A6,"_",B6,"_",C6),$A$69:$B$383,2,0)</f>
        <v>úzký_BLUM_Naložený</v>
      </c>
      <c r="E6" s="80" t="str">
        <f>'Translate&amp;Prices&amp;Logo'!$B$584</f>
        <v>tip-on bez sprężyny/tłumienie</v>
      </c>
      <c r="F6" s="75" t="s">
        <v>2706</v>
      </c>
      <c r="G6" s="75" t="str">
        <f t="shared" si="1"/>
        <v>497120 - Nakładany tip-on bez sprężyny/tłumienie - onyx</v>
      </c>
      <c r="H6" s="76">
        <v>497120</v>
      </c>
      <c r="Q6" s="76">
        <v>347124</v>
      </c>
      <c r="R6" s="76" t="str">
        <f t="shared" si="5"/>
        <v>krzyżakowy expando - 347124</v>
      </c>
      <c r="S6" s="76">
        <v>306320</v>
      </c>
      <c r="T6" s="76" t="str">
        <f>CONCATENATE($S$1," - ",S6)</f>
        <v>prosty wkręt - 306320</v>
      </c>
      <c r="X6" s="76"/>
      <c r="Y6" s="75"/>
      <c r="Z6" s="75"/>
      <c r="AC6" s="74"/>
      <c r="AD6" s="217"/>
      <c r="AE6" s="73"/>
    </row>
    <row r="7" spans="1:31" ht="16.350000000000001" customHeight="1">
      <c r="A7" s="75" t="s">
        <v>1197</v>
      </c>
      <c r="B7" s="75" t="s">
        <v>2</v>
      </c>
      <c r="C7" s="75" t="str">
        <f>'Translate&amp;Prices&amp;Logo'!B554</f>
        <v>Półnakładany</v>
      </c>
      <c r="D7" s="73" t="str">
        <f t="shared" si="0"/>
        <v>úzký_BLUM_Polonaložený</v>
      </c>
      <c r="E7" s="75" t="str">
        <f>'Translate&amp;Prices&amp;Logo'!$B$582</f>
        <v>ze sprężyną z tłumieniem</v>
      </c>
      <c r="F7" s="75" t="str">
        <f>'Translate&amp;Prices&amp;Logo'!$B$585</f>
        <v>srebro</v>
      </c>
      <c r="G7" s="75" t="str">
        <f t="shared" si="1"/>
        <v>118120 - Półnakładany ze sprężyną z tłumieniem - srebro</v>
      </c>
      <c r="H7" s="76">
        <v>118120</v>
      </c>
      <c r="I7" s="76" t="s">
        <v>1199</v>
      </c>
      <c r="J7" s="76" t="s">
        <v>1199</v>
      </c>
      <c r="K7" s="76">
        <v>12306</v>
      </c>
      <c r="L7" s="76" t="str">
        <f t="shared" si="2"/>
        <v>krzyżakowy, wkręt - 12306</v>
      </c>
      <c r="M7" s="76" t="s">
        <v>2243</v>
      </c>
      <c r="N7" s="76" t="str">
        <f t="shared" si="3"/>
        <v>na wkręt (z mimośrodem) - N/A</v>
      </c>
      <c r="O7" s="76">
        <v>12318</v>
      </c>
      <c r="P7" s="76" t="str">
        <f t="shared" si="4"/>
        <v>krzyżakowy eurowkręt - 12318</v>
      </c>
      <c r="Q7" s="76">
        <v>12302</v>
      </c>
      <c r="R7" s="76" t="str">
        <f t="shared" si="5"/>
        <v>krzyżakowy expando - 12302</v>
      </c>
      <c r="S7" s="76">
        <v>203387</v>
      </c>
      <c r="T7" s="76" t="str">
        <f t="shared" si="6"/>
        <v>prosty wkręt - 203387</v>
      </c>
      <c r="U7" s="76">
        <v>346624</v>
      </c>
      <c r="V7" s="76" t="str">
        <f t="shared" si="7"/>
        <v>prosty eurowkręt - 346624</v>
      </c>
      <c r="W7" s="76">
        <v>211476</v>
      </c>
      <c r="X7" s="76" t="str">
        <f t="shared" si="8"/>
        <v>prosty expando - 211476</v>
      </c>
      <c r="Y7" s="75"/>
      <c r="Z7" s="75"/>
      <c r="AC7" s="74" t="str">
        <f>$U$1</f>
        <v>prosty eurowkręt</v>
      </c>
      <c r="AD7" s="75">
        <v>16</v>
      </c>
      <c r="AE7" s="73" t="e">
        <f>VLOOKUP(Ram_1!$H$15,$G:$X,AD7,0)</f>
        <v>#N/A</v>
      </c>
    </row>
    <row r="8" spans="1:31" ht="16.350000000000001" customHeight="1">
      <c r="A8" s="75" t="s">
        <v>1197</v>
      </c>
      <c r="B8" s="75" t="s">
        <v>2</v>
      </c>
      <c r="C8" s="75" t="str">
        <f>'Translate&amp;Prices&amp;Logo'!B554</f>
        <v>Półnakładany</v>
      </c>
      <c r="D8" s="73" t="str">
        <f t="shared" si="0"/>
        <v>úzký_BLUM_Polonaložený</v>
      </c>
      <c r="E8" s="75" t="str">
        <f>'Translate&amp;Prices&amp;Logo'!$B$583</f>
        <v>ze sprężyną bez tłumienia</v>
      </c>
      <c r="F8" s="75" t="str">
        <f>'Translate&amp;Prices&amp;Logo'!$B$585</f>
        <v>srebro</v>
      </c>
      <c r="G8" s="75" t="str">
        <f t="shared" si="1"/>
        <v>12107 - Półnakładany ze sprężyną bez tłumienia - srebro</v>
      </c>
      <c r="H8" s="76">
        <v>12107</v>
      </c>
      <c r="I8" s="76" t="s">
        <v>1199</v>
      </c>
      <c r="J8" s="76" t="s">
        <v>1199</v>
      </c>
      <c r="K8" s="76">
        <v>12306</v>
      </c>
      <c r="L8" s="76" t="str">
        <f t="shared" si="2"/>
        <v>krzyżakowy, wkręt - 12306</v>
      </c>
      <c r="M8" s="76" t="s">
        <v>2243</v>
      </c>
      <c r="N8" s="76" t="str">
        <f t="shared" si="3"/>
        <v>na wkręt (z mimośrodem) - N/A</v>
      </c>
      <c r="O8" s="76">
        <v>12318</v>
      </c>
      <c r="P8" s="76" t="str">
        <f t="shared" si="4"/>
        <v>krzyżakowy eurowkręt - 12318</v>
      </c>
      <c r="Q8" s="76">
        <v>12302</v>
      </c>
      <c r="R8" s="76" t="str">
        <f t="shared" si="5"/>
        <v>krzyżakowy expando - 12302</v>
      </c>
      <c r="S8" s="76">
        <v>203387</v>
      </c>
      <c r="T8" s="76" t="str">
        <f t="shared" si="6"/>
        <v>prosty wkręt - 203387</v>
      </c>
      <c r="U8" s="76">
        <v>346624</v>
      </c>
      <c r="V8" s="76" t="str">
        <f t="shared" si="7"/>
        <v>prosty eurowkręt - 346624</v>
      </c>
      <c r="W8" s="76">
        <v>211476</v>
      </c>
      <c r="X8" s="76" t="str">
        <f t="shared" si="8"/>
        <v>prosty expando - 211476</v>
      </c>
      <c r="Y8" s="75"/>
      <c r="Z8" s="75"/>
      <c r="AC8" s="74" t="str">
        <f>$W$1</f>
        <v>prosty expando</v>
      </c>
      <c r="AD8" s="217">
        <v>18</v>
      </c>
      <c r="AE8" s="73" t="e">
        <f>VLOOKUP(Ram_1!$H$15,$G:$X,AD8,0)</f>
        <v>#N/A</v>
      </c>
    </row>
    <row r="9" spans="1:31" ht="16.350000000000001" customHeight="1">
      <c r="A9" s="80" t="s">
        <v>1197</v>
      </c>
      <c r="B9" s="80" t="s">
        <v>2</v>
      </c>
      <c r="C9" s="80" t="str">
        <f>'Translate&amp;Prices&amp;Logo'!B555</f>
        <v>Wpuszczany</v>
      </c>
      <c r="D9" s="73" t="str">
        <f t="shared" si="0"/>
        <v>úzký_BLUM_Vložený</v>
      </c>
      <c r="E9" s="80" t="str">
        <f>'Translate&amp;Prices&amp;Logo'!$B$582</f>
        <v>ze sprężyną z tłumieniem</v>
      </c>
      <c r="F9" s="75" t="str">
        <f>'Translate&amp;Prices&amp;Logo'!$B$585</f>
        <v>srebro</v>
      </c>
      <c r="G9" s="75" t="str">
        <f t="shared" si="1"/>
        <v>118121 - Wpuszczany ze sprężyną z tłumieniem - srebro</v>
      </c>
      <c r="H9" s="76">
        <v>118121</v>
      </c>
      <c r="I9" s="76" t="s">
        <v>1199</v>
      </c>
      <c r="J9" s="76" t="s">
        <v>1199</v>
      </c>
      <c r="K9" s="76">
        <v>12306</v>
      </c>
      <c r="L9" s="76" t="str">
        <f t="shared" si="2"/>
        <v>krzyżakowy, wkręt - 12306</v>
      </c>
      <c r="M9" s="76" t="s">
        <v>2243</v>
      </c>
      <c r="N9" s="76" t="str">
        <f t="shared" si="3"/>
        <v>na wkręt (z mimośrodem) - N/A</v>
      </c>
      <c r="O9" s="76">
        <v>12318</v>
      </c>
      <c r="P9" s="76" t="str">
        <f t="shared" si="4"/>
        <v>krzyżakowy eurowkręt - 12318</v>
      </c>
      <c r="Q9" s="76">
        <v>12302</v>
      </c>
      <c r="R9" s="76" t="str">
        <f t="shared" si="5"/>
        <v>krzyżakowy expando - 12302</v>
      </c>
      <c r="S9" s="76">
        <v>203387</v>
      </c>
      <c r="T9" s="76" t="str">
        <f t="shared" si="6"/>
        <v>prosty wkręt - 203387</v>
      </c>
      <c r="U9" s="76">
        <v>346624</v>
      </c>
      <c r="V9" s="76" t="str">
        <f t="shared" si="7"/>
        <v>prosty eurowkręt - 346624</v>
      </c>
      <c r="W9" s="76">
        <v>211476</v>
      </c>
      <c r="X9" s="76" t="str">
        <f t="shared" si="8"/>
        <v>prosty expando - 211476</v>
      </c>
      <c r="Y9" s="75"/>
      <c r="Z9" s="75"/>
    </row>
    <row r="10" spans="1:31" ht="15">
      <c r="A10" s="80" t="s">
        <v>1197</v>
      </c>
      <c r="B10" s="80" t="s">
        <v>2</v>
      </c>
      <c r="C10" s="80" t="str">
        <f>'Translate&amp;Prices&amp;Logo'!B555</f>
        <v>Wpuszczany</v>
      </c>
      <c r="D10" s="73" t="str">
        <f t="shared" si="0"/>
        <v>úzký_BLUM_Vložený</v>
      </c>
      <c r="E10" s="80" t="str">
        <f>'Translate&amp;Prices&amp;Logo'!$B$583</f>
        <v>ze sprężyną bez tłumienia</v>
      </c>
      <c r="F10" s="75" t="str">
        <f>'Translate&amp;Prices&amp;Logo'!$B$585</f>
        <v>srebro</v>
      </c>
      <c r="G10" s="75" t="str">
        <f t="shared" si="1"/>
        <v>12108 - Wpuszczany ze sprężyną bez tłumienia - srebro</v>
      </c>
      <c r="H10" s="76">
        <v>12108</v>
      </c>
      <c r="I10" s="76" t="s">
        <v>1199</v>
      </c>
      <c r="J10" s="76" t="s">
        <v>1199</v>
      </c>
      <c r="K10" s="76">
        <v>12306</v>
      </c>
      <c r="L10" s="76" t="str">
        <f t="shared" si="2"/>
        <v>krzyżakowy, wkręt - 12306</v>
      </c>
      <c r="M10" s="76" t="s">
        <v>2243</v>
      </c>
      <c r="N10" s="76" t="str">
        <f t="shared" si="3"/>
        <v>na wkręt (z mimośrodem) - N/A</v>
      </c>
      <c r="O10" s="76">
        <v>12318</v>
      </c>
      <c r="P10" s="76" t="str">
        <f t="shared" si="4"/>
        <v>krzyżakowy eurowkręt - 12318</v>
      </c>
      <c r="Q10" s="76">
        <v>12302</v>
      </c>
      <c r="R10" s="76" t="str">
        <f t="shared" si="5"/>
        <v>krzyżakowy expando - 12302</v>
      </c>
      <c r="S10" s="76">
        <v>203387</v>
      </c>
      <c r="T10" s="76" t="str">
        <f t="shared" si="6"/>
        <v>prosty wkręt - 203387</v>
      </c>
      <c r="U10" s="76">
        <v>346624</v>
      </c>
      <c r="V10" s="76" t="str">
        <f t="shared" si="7"/>
        <v>prosty eurowkręt - 346624</v>
      </c>
      <c r="W10" s="76">
        <v>211476</v>
      </c>
      <c r="X10" s="76" t="str">
        <f t="shared" si="8"/>
        <v>prosty expando - 211476</v>
      </c>
      <c r="Y10" s="75"/>
      <c r="Z10" s="75"/>
    </row>
    <row r="11" spans="1:31" ht="15">
      <c r="A11" s="75" t="s">
        <v>1197</v>
      </c>
      <c r="B11" s="75" t="s">
        <v>578</v>
      </c>
      <c r="C11" s="75" t="str">
        <f>'Translate&amp;Prices&amp;Logo'!B553</f>
        <v>Nakładany</v>
      </c>
      <c r="D11" s="73" t="str">
        <f t="shared" si="0"/>
        <v>úzký_HETTICH_Naložený</v>
      </c>
      <c r="E11" s="75" t="str">
        <f>'Translate&amp;Prices&amp;Logo'!$B$582</f>
        <v>ze sprężyną z tłumieniem</v>
      </c>
      <c r="F11" s="75" t="str">
        <f>'Translate&amp;Prices&amp;Logo'!$B$585</f>
        <v>srebro</v>
      </c>
      <c r="G11" s="75" t="str">
        <f t="shared" si="1"/>
        <v>300279 - Nakładany ze sprężyną z tłumieniem - srebro</v>
      </c>
      <c r="H11" s="76">
        <v>300279</v>
      </c>
      <c r="I11" s="76" t="s">
        <v>1199</v>
      </c>
      <c r="J11" s="76" t="s">
        <v>1199</v>
      </c>
      <c r="K11" s="76">
        <v>106403</v>
      </c>
      <c r="L11" s="76" t="str">
        <f t="shared" si="2"/>
        <v>krzyżakowy, wkręt - 106403</v>
      </c>
      <c r="M11" s="76" t="s">
        <v>2243</v>
      </c>
      <c r="N11" s="76" t="str">
        <f t="shared" si="3"/>
        <v>na wkręt (z mimośrodem) - N/A</v>
      </c>
      <c r="O11" s="76">
        <v>119240</v>
      </c>
      <c r="P11" s="76" t="str">
        <f t="shared" si="4"/>
        <v>krzyżakowy eurowkręt - 119240</v>
      </c>
      <c r="Q11" s="76">
        <v>136276</v>
      </c>
      <c r="R11" s="76" t="str">
        <f t="shared" si="5"/>
        <v>krzyżakowy expando - 136276</v>
      </c>
      <c r="S11" s="76">
        <v>300319</v>
      </c>
      <c r="T11" s="76" t="str">
        <f t="shared" si="6"/>
        <v>prosty wkręt - 300319</v>
      </c>
      <c r="U11" s="76" t="s">
        <v>2243</v>
      </c>
      <c r="V11" s="76" t="str">
        <f t="shared" si="7"/>
        <v>prosty eurowkręt - N/A</v>
      </c>
      <c r="W11" s="76" t="s">
        <v>2243</v>
      </c>
      <c r="X11" s="76" t="str">
        <f t="shared" si="8"/>
        <v>prosty expando - N/A</v>
      </c>
      <c r="Y11" s="75"/>
      <c r="Z11" s="75"/>
    </row>
    <row r="12" spans="1:31" ht="15">
      <c r="A12" s="75" t="s">
        <v>1197</v>
      </c>
      <c r="B12" s="75" t="s">
        <v>578</v>
      </c>
      <c r="C12" s="75" t="str">
        <f>'Translate&amp;Prices&amp;Logo'!B553</f>
        <v>Nakładany</v>
      </c>
      <c r="D12" s="73" t="str">
        <f t="shared" si="0"/>
        <v>úzký_HETTICH_Naložený</v>
      </c>
      <c r="E12" s="75" t="str">
        <f>'Translate&amp;Prices&amp;Logo'!$B$582</f>
        <v>ze sprężyną z tłumieniem</v>
      </c>
      <c r="F12" s="75" t="str">
        <f>'Translate&amp;Prices&amp;Logo'!$B$586</f>
        <v>czarny</v>
      </c>
      <c r="G12" s="75" t="str">
        <f t="shared" si="1"/>
        <v>344697 - Nakładany ze sprężyną z tłumieniem - czarny</v>
      </c>
      <c r="H12" s="76">
        <v>344697</v>
      </c>
      <c r="I12" s="76" t="s">
        <v>1199</v>
      </c>
      <c r="J12" s="76" t="s">
        <v>1199</v>
      </c>
      <c r="K12" s="76" t="s">
        <v>2243</v>
      </c>
      <c r="L12" s="76" t="str">
        <f t="shared" si="2"/>
        <v>krzyżakowy, wkręt - N/A</v>
      </c>
      <c r="M12" s="76" t="s">
        <v>2243</v>
      </c>
      <c r="N12" s="76" t="str">
        <f t="shared" si="3"/>
        <v>na wkręt (z mimośrodem) - N/A</v>
      </c>
      <c r="O12" s="76">
        <v>344723</v>
      </c>
      <c r="P12" s="76" t="str">
        <f t="shared" si="4"/>
        <v>krzyżakowy eurowkręt - 344723</v>
      </c>
      <c r="Q12" s="76">
        <v>344727</v>
      </c>
      <c r="R12" s="76" t="str">
        <f t="shared" si="5"/>
        <v>krzyżakowy expando - 344727</v>
      </c>
      <c r="S12" s="76">
        <v>397949</v>
      </c>
      <c r="T12" s="76" t="str">
        <f t="shared" si="6"/>
        <v>prosty wkręt - 397949</v>
      </c>
      <c r="U12" s="76" t="s">
        <v>2243</v>
      </c>
      <c r="V12" s="76" t="str">
        <f t="shared" si="7"/>
        <v>prosty eurowkręt - N/A</v>
      </c>
      <c r="W12" s="76" t="s">
        <v>2243</v>
      </c>
      <c r="X12" s="76" t="str">
        <f t="shared" si="8"/>
        <v>prosty expando - N/A</v>
      </c>
      <c r="Y12" s="75"/>
      <c r="Z12" s="75"/>
    </row>
    <row r="13" spans="1:31" ht="15">
      <c r="A13" s="75" t="s">
        <v>1197</v>
      </c>
      <c r="B13" s="75" t="s">
        <v>578</v>
      </c>
      <c r="C13" s="75" t="str">
        <f>'Translate&amp;Prices&amp;Logo'!B553</f>
        <v>Nakładany</v>
      </c>
      <c r="D13" s="73" t="str">
        <f t="shared" si="0"/>
        <v>úzký_HETTICH_Naložený</v>
      </c>
      <c r="E13" s="75" t="str">
        <f>'Translate&amp;Prices&amp;Logo'!$B$583</f>
        <v>ze sprężyną bez tłumienia</v>
      </c>
      <c r="F13" s="75" t="str">
        <f>'Translate&amp;Prices&amp;Logo'!$B$585</f>
        <v>srebro</v>
      </c>
      <c r="G13" s="75" t="str">
        <f t="shared" si="1"/>
        <v>300282 - Nakładany ze sprężyną bez tłumienia - srebro</v>
      </c>
      <c r="H13" s="76">
        <v>300282</v>
      </c>
      <c r="I13" s="76" t="s">
        <v>1199</v>
      </c>
      <c r="J13" s="76" t="s">
        <v>1199</v>
      </c>
      <c r="K13" s="76">
        <v>106403</v>
      </c>
      <c r="L13" s="76" t="str">
        <f t="shared" si="2"/>
        <v>krzyżakowy, wkręt - 106403</v>
      </c>
      <c r="M13" s="76" t="s">
        <v>2243</v>
      </c>
      <c r="N13" s="76" t="str">
        <f t="shared" si="3"/>
        <v>na wkręt (z mimośrodem) - N/A</v>
      </c>
      <c r="O13" s="76">
        <v>119240</v>
      </c>
      <c r="P13" s="76" t="str">
        <f t="shared" si="4"/>
        <v>krzyżakowy eurowkręt - 119240</v>
      </c>
      <c r="Q13" s="76">
        <v>136276</v>
      </c>
      <c r="R13" s="76" t="str">
        <f t="shared" si="5"/>
        <v>krzyżakowy expando - 136276</v>
      </c>
      <c r="S13" s="76">
        <v>300319</v>
      </c>
      <c r="T13" s="76" t="str">
        <f t="shared" si="6"/>
        <v>prosty wkręt - 300319</v>
      </c>
      <c r="U13" s="76" t="s">
        <v>2243</v>
      </c>
      <c r="V13" s="76" t="str">
        <f t="shared" si="7"/>
        <v>prosty eurowkręt - N/A</v>
      </c>
      <c r="W13" s="76" t="s">
        <v>2243</v>
      </c>
      <c r="X13" s="76" t="str">
        <f t="shared" si="8"/>
        <v>prosty expando - N/A</v>
      </c>
      <c r="Y13" s="75"/>
      <c r="Z13" s="75"/>
    </row>
    <row r="14" spans="1:31" ht="15">
      <c r="A14" s="75" t="s">
        <v>1197</v>
      </c>
      <c r="B14" s="75" t="s">
        <v>578</v>
      </c>
      <c r="C14" s="75" t="str">
        <f>'Translate&amp;Prices&amp;Logo'!B553</f>
        <v>Nakładany</v>
      </c>
      <c r="D14" s="73" t="str">
        <f t="shared" si="0"/>
        <v>úzký_HETTICH_Naložený</v>
      </c>
      <c r="E14" s="75" t="str">
        <f>'Translate&amp;Prices&amp;Logo'!$B$584</f>
        <v>tip-on bez sprężyny/tłumienie</v>
      </c>
      <c r="F14" s="75" t="str">
        <f>'Translate&amp;Prices&amp;Logo'!$B$585</f>
        <v>srebro</v>
      </c>
      <c r="G14" s="75" t="str">
        <f t="shared" si="1"/>
        <v>300285 - Nakładany tip-on bez sprężyny/tłumienie - srebro</v>
      </c>
      <c r="H14" s="76">
        <v>300285</v>
      </c>
      <c r="I14" s="76" t="s">
        <v>1199</v>
      </c>
      <c r="J14" s="76" t="s">
        <v>1199</v>
      </c>
      <c r="K14" s="76">
        <v>106403</v>
      </c>
      <c r="L14" s="76" t="str">
        <f t="shared" si="2"/>
        <v>krzyżakowy, wkręt - 106403</v>
      </c>
      <c r="M14" s="76" t="s">
        <v>2243</v>
      </c>
      <c r="N14" s="76" t="str">
        <f t="shared" si="3"/>
        <v>na wkręt (z mimośrodem) - N/A</v>
      </c>
      <c r="O14" s="76">
        <v>119240</v>
      </c>
      <c r="P14" s="76" t="str">
        <f t="shared" si="4"/>
        <v>krzyżakowy eurowkręt - 119240</v>
      </c>
      <c r="Q14" s="76">
        <v>136276</v>
      </c>
      <c r="R14" s="76" t="str">
        <f t="shared" si="5"/>
        <v>krzyżakowy expando - 136276</v>
      </c>
      <c r="S14" s="76">
        <v>300319</v>
      </c>
      <c r="T14" s="76" t="str">
        <f t="shared" si="6"/>
        <v>prosty wkręt - 300319</v>
      </c>
      <c r="U14" s="76" t="s">
        <v>2243</v>
      </c>
      <c r="V14" s="76" t="str">
        <f t="shared" si="7"/>
        <v>prosty eurowkręt - N/A</v>
      </c>
      <c r="W14" s="76" t="s">
        <v>2243</v>
      </c>
      <c r="X14" s="76" t="str">
        <f t="shared" si="8"/>
        <v>prosty expando - N/A</v>
      </c>
      <c r="Y14" s="75"/>
      <c r="Z14" s="75"/>
    </row>
    <row r="15" spans="1:31" ht="15">
      <c r="A15" s="80" t="s">
        <v>1197</v>
      </c>
      <c r="B15" s="80" t="s">
        <v>578</v>
      </c>
      <c r="C15" s="80" t="str">
        <f>'Translate&amp;Prices&amp;Logo'!B554</f>
        <v>Półnakładany</v>
      </c>
      <c r="D15" s="73" t="str">
        <f t="shared" si="0"/>
        <v>úzký_HETTICH_Polonaložený</v>
      </c>
      <c r="E15" s="80" t="str">
        <f>'Translate&amp;Prices&amp;Logo'!$B$582</f>
        <v>ze sprężyną z tłumieniem</v>
      </c>
      <c r="F15" s="75" t="str">
        <f>'Translate&amp;Prices&amp;Logo'!$B$585</f>
        <v>srebro</v>
      </c>
      <c r="G15" s="75" t="str">
        <f t="shared" si="1"/>
        <v>300280 - Półnakładany ze sprężyną z tłumieniem - srebro</v>
      </c>
      <c r="H15" s="76">
        <v>300280</v>
      </c>
      <c r="I15" s="76" t="s">
        <v>1199</v>
      </c>
      <c r="J15" s="76" t="s">
        <v>1199</v>
      </c>
      <c r="K15" s="76">
        <v>106403</v>
      </c>
      <c r="L15" s="76" t="str">
        <f t="shared" si="2"/>
        <v>krzyżakowy, wkręt - 106403</v>
      </c>
      <c r="M15" s="76" t="s">
        <v>2243</v>
      </c>
      <c r="N15" s="76" t="str">
        <f t="shared" si="3"/>
        <v>na wkręt (z mimośrodem) - N/A</v>
      </c>
      <c r="O15" s="76">
        <v>119240</v>
      </c>
      <c r="P15" s="76" t="str">
        <f t="shared" si="4"/>
        <v>krzyżakowy eurowkręt - 119240</v>
      </c>
      <c r="Q15" s="76">
        <v>136276</v>
      </c>
      <c r="R15" s="76" t="str">
        <f t="shared" si="5"/>
        <v>krzyżakowy expando - 136276</v>
      </c>
      <c r="S15" s="76">
        <v>300319</v>
      </c>
      <c r="T15" s="76" t="str">
        <f t="shared" si="6"/>
        <v>prosty wkręt - 300319</v>
      </c>
      <c r="U15" s="76" t="s">
        <v>2243</v>
      </c>
      <c r="V15" s="76" t="str">
        <f t="shared" si="7"/>
        <v>prosty eurowkręt - N/A</v>
      </c>
      <c r="W15" s="76" t="s">
        <v>2243</v>
      </c>
      <c r="X15" s="76" t="str">
        <f t="shared" si="8"/>
        <v>prosty expando - N/A</v>
      </c>
      <c r="Y15" s="75"/>
      <c r="Z15" s="75"/>
    </row>
    <row r="16" spans="1:31" ht="15">
      <c r="A16" s="80" t="s">
        <v>1197</v>
      </c>
      <c r="B16" s="80" t="s">
        <v>578</v>
      </c>
      <c r="C16" s="80" t="str">
        <f>'Translate&amp;Prices&amp;Logo'!B554</f>
        <v>Półnakładany</v>
      </c>
      <c r="D16" s="73" t="str">
        <f t="shared" si="0"/>
        <v>úzký_HETTICH_Polonaložený</v>
      </c>
      <c r="E16" s="80" t="str">
        <f>'Translate&amp;Prices&amp;Logo'!$B$583</f>
        <v>ze sprężyną bez tłumienia</v>
      </c>
      <c r="F16" s="75" t="str">
        <f>'Translate&amp;Prices&amp;Logo'!$B$585</f>
        <v>srebro</v>
      </c>
      <c r="G16" s="75" t="str">
        <f t="shared" si="1"/>
        <v>300283 - Półnakładany ze sprężyną bez tłumienia - srebro</v>
      </c>
      <c r="H16" s="76">
        <v>300283</v>
      </c>
      <c r="I16" s="76" t="s">
        <v>1199</v>
      </c>
      <c r="J16" s="76" t="s">
        <v>1199</v>
      </c>
      <c r="K16" s="76">
        <v>106403</v>
      </c>
      <c r="L16" s="76" t="str">
        <f t="shared" si="2"/>
        <v>krzyżakowy, wkręt - 106403</v>
      </c>
      <c r="M16" s="76" t="s">
        <v>2243</v>
      </c>
      <c r="N16" s="76" t="str">
        <f t="shared" si="3"/>
        <v>na wkręt (z mimośrodem) - N/A</v>
      </c>
      <c r="O16" s="76">
        <v>119240</v>
      </c>
      <c r="P16" s="76" t="str">
        <f t="shared" si="4"/>
        <v>krzyżakowy eurowkręt - 119240</v>
      </c>
      <c r="Q16" s="76">
        <v>136276</v>
      </c>
      <c r="R16" s="76" t="str">
        <f t="shared" si="5"/>
        <v>krzyżakowy expando - 136276</v>
      </c>
      <c r="S16" s="76">
        <v>300319</v>
      </c>
      <c r="T16" s="76" t="str">
        <f t="shared" si="6"/>
        <v>prosty wkręt - 300319</v>
      </c>
      <c r="U16" s="76" t="s">
        <v>2243</v>
      </c>
      <c r="V16" s="76" t="str">
        <f t="shared" si="7"/>
        <v>prosty eurowkręt - N/A</v>
      </c>
      <c r="W16" s="76" t="s">
        <v>2243</v>
      </c>
      <c r="X16" s="76" t="str">
        <f t="shared" si="8"/>
        <v>prosty expando - N/A</v>
      </c>
      <c r="Y16" s="75"/>
      <c r="Z16" s="75"/>
    </row>
    <row r="17" spans="1:26" ht="15">
      <c r="A17" s="80" t="s">
        <v>1197</v>
      </c>
      <c r="B17" s="80" t="s">
        <v>578</v>
      </c>
      <c r="C17" s="80" t="str">
        <f>'Translate&amp;Prices&amp;Logo'!B554</f>
        <v>Półnakładany</v>
      </c>
      <c r="D17" s="73" t="str">
        <f t="shared" si="0"/>
        <v>úzký_HETTICH_Polonaložený</v>
      </c>
      <c r="E17" s="80" t="str">
        <f>'Translate&amp;Prices&amp;Logo'!$B$584</f>
        <v>tip-on bez sprężyny/tłumienie</v>
      </c>
      <c r="F17" s="75" t="str">
        <f>'Translate&amp;Prices&amp;Logo'!$B$585</f>
        <v>srebro</v>
      </c>
      <c r="G17" s="75" t="str">
        <f t="shared" si="1"/>
        <v>300286 - Półnakładany tip-on bez sprężyny/tłumienie - srebro</v>
      </c>
      <c r="H17" s="76">
        <v>300286</v>
      </c>
      <c r="I17" s="76" t="s">
        <v>1199</v>
      </c>
      <c r="J17" s="76" t="s">
        <v>1199</v>
      </c>
      <c r="K17" s="76">
        <v>106403</v>
      </c>
      <c r="L17" s="76" t="str">
        <f t="shared" si="2"/>
        <v>krzyżakowy, wkręt - 106403</v>
      </c>
      <c r="M17" s="76" t="s">
        <v>2243</v>
      </c>
      <c r="N17" s="76" t="str">
        <f t="shared" si="3"/>
        <v>na wkręt (z mimośrodem) - N/A</v>
      </c>
      <c r="O17" s="76">
        <v>119240</v>
      </c>
      <c r="P17" s="76" t="str">
        <f t="shared" si="4"/>
        <v>krzyżakowy eurowkręt - 119240</v>
      </c>
      <c r="Q17" s="76">
        <v>136276</v>
      </c>
      <c r="R17" s="76" t="str">
        <f t="shared" si="5"/>
        <v>krzyżakowy expando - 136276</v>
      </c>
      <c r="S17" s="76">
        <v>300319</v>
      </c>
      <c r="T17" s="76" t="str">
        <f t="shared" si="6"/>
        <v>prosty wkręt - 300319</v>
      </c>
      <c r="U17" s="76" t="s">
        <v>2243</v>
      </c>
      <c r="V17" s="76" t="str">
        <f t="shared" si="7"/>
        <v>prosty eurowkręt - N/A</v>
      </c>
      <c r="W17" s="76" t="s">
        <v>2243</v>
      </c>
      <c r="X17" s="76" t="str">
        <f t="shared" si="8"/>
        <v>prosty expando - N/A</v>
      </c>
      <c r="Y17" s="75"/>
      <c r="Z17" s="75"/>
    </row>
    <row r="18" spans="1:26" ht="15">
      <c r="A18" s="75" t="s">
        <v>1197</v>
      </c>
      <c r="B18" s="75" t="s">
        <v>578</v>
      </c>
      <c r="C18" s="75" t="str">
        <f>'Translate&amp;Prices&amp;Logo'!B555</f>
        <v>Wpuszczany</v>
      </c>
      <c r="D18" s="73" t="str">
        <f t="shared" si="0"/>
        <v>úzký_HETTICH_Vložený</v>
      </c>
      <c r="E18" s="75" t="str">
        <f>'Translate&amp;Prices&amp;Logo'!$B$582</f>
        <v>ze sprężyną z tłumieniem</v>
      </c>
      <c r="F18" s="75" t="str">
        <f>'Translate&amp;Prices&amp;Logo'!$B$585</f>
        <v>srebro</v>
      </c>
      <c r="G18" s="75" t="str">
        <f t="shared" si="1"/>
        <v>300281 - Wpuszczany ze sprężyną z tłumieniem - srebro</v>
      </c>
      <c r="H18" s="76">
        <v>300281</v>
      </c>
      <c r="I18" s="76" t="s">
        <v>1199</v>
      </c>
      <c r="J18" s="76" t="s">
        <v>1199</v>
      </c>
      <c r="K18" s="76">
        <v>106403</v>
      </c>
      <c r="L18" s="76" t="str">
        <f t="shared" si="2"/>
        <v>krzyżakowy, wkręt - 106403</v>
      </c>
      <c r="M18" s="76" t="s">
        <v>2243</v>
      </c>
      <c r="N18" s="76" t="str">
        <f t="shared" si="3"/>
        <v>na wkręt (z mimośrodem) - N/A</v>
      </c>
      <c r="O18" s="76">
        <v>119240</v>
      </c>
      <c r="P18" s="76" t="str">
        <f t="shared" si="4"/>
        <v>krzyżakowy eurowkręt - 119240</v>
      </c>
      <c r="Q18" s="76">
        <v>136276</v>
      </c>
      <c r="R18" s="76" t="str">
        <f t="shared" si="5"/>
        <v>krzyżakowy expando - 136276</v>
      </c>
      <c r="S18" s="76">
        <v>300319</v>
      </c>
      <c r="T18" s="76" t="str">
        <f t="shared" si="6"/>
        <v>prosty wkręt - 300319</v>
      </c>
      <c r="U18" s="76" t="s">
        <v>2243</v>
      </c>
      <c r="V18" s="76" t="str">
        <f t="shared" si="7"/>
        <v>prosty eurowkręt - N/A</v>
      </c>
      <c r="W18" s="76" t="s">
        <v>2243</v>
      </c>
      <c r="X18" s="76" t="str">
        <f t="shared" si="8"/>
        <v>prosty expando - N/A</v>
      </c>
      <c r="Y18" s="75"/>
      <c r="Z18" s="75"/>
    </row>
    <row r="19" spans="1:26" ht="15">
      <c r="A19" s="75" t="s">
        <v>1197</v>
      </c>
      <c r="B19" s="75" t="s">
        <v>578</v>
      </c>
      <c r="C19" s="75" t="str">
        <f>'Translate&amp;Prices&amp;Logo'!B555</f>
        <v>Wpuszczany</v>
      </c>
      <c r="D19" s="73" t="str">
        <f t="shared" si="0"/>
        <v>úzký_HETTICH_Vložený</v>
      </c>
      <c r="E19" s="75" t="str">
        <f>'Translate&amp;Prices&amp;Logo'!$B$583</f>
        <v>ze sprężyną bez tłumienia</v>
      </c>
      <c r="F19" s="75" t="str">
        <f>'Translate&amp;Prices&amp;Logo'!$B$585</f>
        <v>srebro</v>
      </c>
      <c r="G19" s="75" t="str">
        <f t="shared" si="1"/>
        <v>300284 - Wpuszczany ze sprężyną bez tłumienia - srebro</v>
      </c>
      <c r="H19" s="76">
        <v>300284</v>
      </c>
      <c r="I19" s="76" t="s">
        <v>1199</v>
      </c>
      <c r="J19" s="76" t="s">
        <v>1199</v>
      </c>
      <c r="K19" s="76">
        <v>106403</v>
      </c>
      <c r="L19" s="76" t="str">
        <f t="shared" si="2"/>
        <v>krzyżakowy, wkręt - 106403</v>
      </c>
      <c r="M19" s="76" t="s">
        <v>2243</v>
      </c>
      <c r="N19" s="76" t="str">
        <f t="shared" si="3"/>
        <v>na wkręt (z mimośrodem) - N/A</v>
      </c>
      <c r="O19" s="76">
        <v>119240</v>
      </c>
      <c r="P19" s="76" t="str">
        <f t="shared" si="4"/>
        <v>krzyżakowy eurowkręt - 119240</v>
      </c>
      <c r="Q19" s="76">
        <v>136276</v>
      </c>
      <c r="R19" s="76" t="str">
        <f t="shared" si="5"/>
        <v>krzyżakowy expando - 136276</v>
      </c>
      <c r="S19" s="76">
        <v>300319</v>
      </c>
      <c r="T19" s="76" t="str">
        <f t="shared" si="6"/>
        <v>prosty wkręt - 300319</v>
      </c>
      <c r="U19" s="76" t="s">
        <v>2243</v>
      </c>
      <c r="V19" s="76" t="str">
        <f t="shared" si="7"/>
        <v>prosty eurowkręt - N/A</v>
      </c>
      <c r="W19" s="76" t="s">
        <v>2243</v>
      </c>
      <c r="X19" s="76" t="str">
        <f t="shared" si="8"/>
        <v>prosty expando - N/A</v>
      </c>
      <c r="Y19" s="75"/>
      <c r="Z19" s="75"/>
    </row>
    <row r="20" spans="1:26" ht="15">
      <c r="A20" s="75" t="s">
        <v>1197</v>
      </c>
      <c r="B20" s="75" t="s">
        <v>578</v>
      </c>
      <c r="C20" s="75" t="str">
        <f>'Translate&amp;Prices&amp;Logo'!B555</f>
        <v>Wpuszczany</v>
      </c>
      <c r="D20" s="73" t="str">
        <f t="shared" si="0"/>
        <v>úzký_HETTICH_Vložený</v>
      </c>
      <c r="E20" s="75" t="str">
        <f>'Translate&amp;Prices&amp;Logo'!$B$584</f>
        <v>tip-on bez sprężyny/tłumienie</v>
      </c>
      <c r="F20" s="75" t="str">
        <f>'Translate&amp;Prices&amp;Logo'!$B$585</f>
        <v>srebro</v>
      </c>
      <c r="G20" s="75" t="str">
        <f t="shared" si="1"/>
        <v>300287 - Wpuszczany tip-on bez sprężyny/tłumienie - srebro</v>
      </c>
      <c r="H20" s="76">
        <v>300287</v>
      </c>
      <c r="I20" s="76" t="s">
        <v>1199</v>
      </c>
      <c r="J20" s="76" t="s">
        <v>1199</v>
      </c>
      <c r="K20" s="76">
        <v>106403</v>
      </c>
      <c r="L20" s="76" t="str">
        <f t="shared" si="2"/>
        <v>krzyżakowy, wkręt - 106403</v>
      </c>
      <c r="M20" s="76" t="s">
        <v>2243</v>
      </c>
      <c r="N20" s="76" t="str">
        <f t="shared" si="3"/>
        <v>na wkręt (z mimośrodem) - N/A</v>
      </c>
      <c r="O20" s="76">
        <v>119240</v>
      </c>
      <c r="P20" s="76" t="str">
        <f t="shared" si="4"/>
        <v>krzyżakowy eurowkręt - 119240</v>
      </c>
      <c r="Q20" s="76">
        <v>136276</v>
      </c>
      <c r="R20" s="76" t="str">
        <f t="shared" si="5"/>
        <v>krzyżakowy expando - 136276</v>
      </c>
      <c r="S20" s="76">
        <v>300319</v>
      </c>
      <c r="T20" s="76" t="str">
        <f t="shared" si="6"/>
        <v>prosty wkręt - 300319</v>
      </c>
      <c r="U20" s="76" t="s">
        <v>2243</v>
      </c>
      <c r="V20" s="76" t="str">
        <f t="shared" si="7"/>
        <v>prosty eurowkręt - N/A</v>
      </c>
      <c r="W20" s="76" t="s">
        <v>2243</v>
      </c>
      <c r="X20" s="76" t="str">
        <f t="shared" si="8"/>
        <v>prosty expando - N/A</v>
      </c>
      <c r="Y20" s="75"/>
      <c r="Z20" s="75"/>
    </row>
    <row r="21" spans="1:26" ht="15">
      <c r="A21" s="80" t="s">
        <v>1197</v>
      </c>
      <c r="B21" s="80" t="s">
        <v>57</v>
      </c>
      <c r="C21" s="80" t="str">
        <f>'Translate&amp;Prices&amp;Logo'!B553</f>
        <v>Nakładany</v>
      </c>
      <c r="D21" s="73" t="str">
        <f t="shared" si="0"/>
        <v>úzký_STRONG_Naložený</v>
      </c>
      <c r="E21" s="80" t="str">
        <f>'Translate&amp;Prices&amp;Logo'!$B$582</f>
        <v>ze sprężyną z tłumieniem</v>
      </c>
      <c r="F21" s="75" t="str">
        <f>'Translate&amp;Prices&amp;Logo'!$B$585</f>
        <v>srebro</v>
      </c>
      <c r="G21" s="75" t="str">
        <f>CONCATENATE(I21," ","-"," ",C21," ",E21," - ",F21)</f>
        <v>92584T - Nakładany ze sprężyną z tłumieniem - srebro</v>
      </c>
      <c r="H21" s="76" t="s">
        <v>1199</v>
      </c>
      <c r="I21" s="76" t="s">
        <v>431</v>
      </c>
      <c r="J21" s="76" t="s">
        <v>1199</v>
      </c>
      <c r="K21" s="76" t="s">
        <v>58</v>
      </c>
      <c r="L21" s="76" t="str">
        <f t="shared" si="2"/>
        <v>krzyżakowy, wkręt - 92590T</v>
      </c>
      <c r="M21" s="76" t="s">
        <v>62</v>
      </c>
      <c r="N21" s="76" t="str">
        <f t="shared" si="3"/>
        <v>na wkręt (z mimośrodem) - 92594T</v>
      </c>
      <c r="O21" s="76" t="s">
        <v>64</v>
      </c>
      <c r="P21" s="76" t="str">
        <f t="shared" si="4"/>
        <v>krzyżakowy eurowkręt - 92591T</v>
      </c>
      <c r="Q21" s="76" t="s">
        <v>2243</v>
      </c>
      <c r="R21" s="76" t="str">
        <f t="shared" si="5"/>
        <v>krzyżakowy expando - N/A</v>
      </c>
      <c r="S21" s="76" t="s">
        <v>2243</v>
      </c>
      <c r="T21" s="76" t="str">
        <f t="shared" si="6"/>
        <v>prosty wkręt - N/A</v>
      </c>
      <c r="U21" s="76" t="s">
        <v>2243</v>
      </c>
      <c r="V21" s="76" t="str">
        <f t="shared" si="7"/>
        <v>prosty eurowkręt - N/A</v>
      </c>
      <c r="W21" s="76" t="s">
        <v>2243</v>
      </c>
      <c r="X21" s="76" t="str">
        <f t="shared" si="8"/>
        <v>prosty expando - N/A</v>
      </c>
      <c r="Y21" s="75"/>
      <c r="Z21" s="75"/>
    </row>
    <row r="22" spans="1:26" ht="15">
      <c r="A22" s="75" t="s">
        <v>1197</v>
      </c>
      <c r="B22" s="75" t="s">
        <v>2479</v>
      </c>
      <c r="C22" s="75" t="str">
        <f>'Translate&amp;Prices&amp;Logo'!B553</f>
        <v>Nakładany</v>
      </c>
      <c r="D22" s="73" t="e">
        <f t="shared" si="0"/>
        <v>#N/A</v>
      </c>
      <c r="E22" s="75" t="str">
        <f>'Translate&amp;Prices&amp;Logo'!$B$582</f>
        <v>ze sprężyną z tłumieniem</v>
      </c>
      <c r="F22" s="75" t="str">
        <f>'Translate&amp;Prices&amp;Logo'!$B$585</f>
        <v>srebro</v>
      </c>
      <c r="G22" s="75" t="str">
        <f t="shared" ref="G22:G66" si="10">CONCATENATE(I22," ","-"," ",C22," ",E22," - ",F22)</f>
        <v>350863 - Nakładany ze sprężyną z tłumieniem - srebro</v>
      </c>
      <c r="H22" s="76" t="s">
        <v>1199</v>
      </c>
      <c r="I22" s="76">
        <v>350863</v>
      </c>
      <c r="J22" s="76" t="s">
        <v>1199</v>
      </c>
      <c r="K22" s="76">
        <v>92596</v>
      </c>
      <c r="L22" s="76" t="str">
        <f t="shared" si="2"/>
        <v>krzyżakowy, wkręt - 92596</v>
      </c>
      <c r="M22" s="76">
        <v>315856</v>
      </c>
      <c r="N22" s="76" t="str">
        <f t="shared" si="3"/>
        <v>na wkręt (z mimośrodem) - 315856</v>
      </c>
      <c r="O22" s="76">
        <v>92597</v>
      </c>
      <c r="P22" s="76" t="str">
        <f t="shared" si="4"/>
        <v>krzyżakowy eurowkręt - 92597</v>
      </c>
      <c r="Q22" s="76" t="s">
        <v>2243</v>
      </c>
      <c r="R22" s="76" t="str">
        <f t="shared" si="5"/>
        <v>krzyżakowy expando - N/A</v>
      </c>
      <c r="S22" s="76" t="s">
        <v>2243</v>
      </c>
      <c r="T22" s="76" t="str">
        <f t="shared" si="6"/>
        <v>prosty wkręt - N/A</v>
      </c>
      <c r="U22" s="76" t="s">
        <v>2243</v>
      </c>
      <c r="V22" s="76" t="str">
        <f t="shared" si="7"/>
        <v>prosty eurowkręt - N/A</v>
      </c>
      <c r="W22" s="76" t="s">
        <v>2243</v>
      </c>
      <c r="X22" s="76" t="str">
        <f t="shared" si="8"/>
        <v>prosty expando - N/A</v>
      </c>
      <c r="Y22" s="75"/>
      <c r="Z22" s="75"/>
    </row>
    <row r="23" spans="1:26" ht="15">
      <c r="A23" s="75" t="s">
        <v>1197</v>
      </c>
      <c r="B23" s="75" t="s">
        <v>2479</v>
      </c>
      <c r="C23" s="75" t="str">
        <f>'Translate&amp;Prices&amp;Logo'!B553</f>
        <v>Nakładany</v>
      </c>
      <c r="D23" s="73" t="e">
        <f t="shared" si="0"/>
        <v>#N/A</v>
      </c>
      <c r="E23" s="75" t="str">
        <f>'Translate&amp;Prices&amp;Logo'!$B$584</f>
        <v>tip-on bez sprężyny/tłumienie</v>
      </c>
      <c r="F23" s="75" t="str">
        <f>'Translate&amp;Prices&amp;Logo'!$B$585</f>
        <v>srebro</v>
      </c>
      <c r="G23" s="75" t="str">
        <f t="shared" si="10"/>
        <v>350864 - Nakładany tip-on bez sprężyny/tłumienie - srebro</v>
      </c>
      <c r="H23" s="76" t="s">
        <v>1199</v>
      </c>
      <c r="I23" s="76">
        <v>350864</v>
      </c>
      <c r="J23" s="76" t="s">
        <v>1199</v>
      </c>
      <c r="K23" s="76">
        <v>92596</v>
      </c>
      <c r="L23" s="76" t="str">
        <f t="shared" si="2"/>
        <v>krzyżakowy, wkręt - 92596</v>
      </c>
      <c r="M23" s="76">
        <v>315856</v>
      </c>
      <c r="N23" s="76" t="str">
        <f t="shared" si="3"/>
        <v>na wkręt (z mimośrodem) - 315856</v>
      </c>
      <c r="O23" s="76">
        <v>92597</v>
      </c>
      <c r="P23" s="76" t="str">
        <f t="shared" si="4"/>
        <v>krzyżakowy eurowkręt - 92597</v>
      </c>
      <c r="Q23" s="76" t="s">
        <v>2243</v>
      </c>
      <c r="R23" s="76" t="str">
        <f t="shared" si="5"/>
        <v>krzyżakowy expando - N/A</v>
      </c>
      <c r="S23" s="76" t="s">
        <v>2243</v>
      </c>
      <c r="T23" s="76" t="str">
        <f t="shared" si="6"/>
        <v>prosty wkręt - N/A</v>
      </c>
      <c r="U23" s="76" t="s">
        <v>2243</v>
      </c>
      <c r="V23" s="76" t="str">
        <f t="shared" si="7"/>
        <v>prosty eurowkręt - N/A</v>
      </c>
      <c r="W23" s="76" t="s">
        <v>2243</v>
      </c>
      <c r="X23" s="76" t="str">
        <f t="shared" si="8"/>
        <v>prosty expando - N/A</v>
      </c>
      <c r="Y23" s="75"/>
      <c r="Z23" s="75"/>
    </row>
    <row r="24" spans="1:26" ht="15">
      <c r="A24" s="80" t="s">
        <v>1201</v>
      </c>
      <c r="B24" s="80" t="s">
        <v>2</v>
      </c>
      <c r="C24" s="80" t="str">
        <f>'Translate&amp;Prices&amp;Logo'!B553</f>
        <v>Nakładany</v>
      </c>
      <c r="D24" s="73" t="str">
        <f t="shared" si="0"/>
        <v>široký_BLUM_Naložený</v>
      </c>
      <c r="E24" s="80" t="str">
        <f>'Translate&amp;Prices&amp;Logo'!$B$582</f>
        <v>ze sprężyną z tłumieniem</v>
      </c>
      <c r="F24" s="75" t="str">
        <f>'Translate&amp;Prices&amp;Logo'!$B$585</f>
        <v>srebro</v>
      </c>
      <c r="G24" s="75" t="str">
        <f t="shared" si="10"/>
        <v>12047 - Nakładany ze sprężyną z tłumieniem - srebro</v>
      </c>
      <c r="H24" s="76" t="s">
        <v>1199</v>
      </c>
      <c r="I24" s="76">
        <v>12047</v>
      </c>
      <c r="J24" s="76" t="s">
        <v>1199</v>
      </c>
      <c r="K24" s="76">
        <v>12306</v>
      </c>
      <c r="L24" s="76" t="str">
        <f t="shared" si="2"/>
        <v>krzyżakowy, wkręt - 12306</v>
      </c>
      <c r="M24" s="76" t="s">
        <v>2243</v>
      </c>
      <c r="N24" s="76" t="str">
        <f t="shared" si="3"/>
        <v>na wkręt (z mimośrodem) - N/A</v>
      </c>
      <c r="O24" s="76">
        <v>12318</v>
      </c>
      <c r="P24" s="76" t="str">
        <f t="shared" si="4"/>
        <v>krzyżakowy eurowkręt - 12318</v>
      </c>
      <c r="Q24" s="76">
        <v>12302</v>
      </c>
      <c r="R24" s="76" t="str">
        <f t="shared" si="5"/>
        <v>krzyżakowy expando - 12302</v>
      </c>
      <c r="S24" s="76">
        <v>203387</v>
      </c>
      <c r="T24" s="76" t="str">
        <f t="shared" si="6"/>
        <v>prosty wkręt - 203387</v>
      </c>
      <c r="U24" s="76">
        <v>346624</v>
      </c>
      <c r="V24" s="76" t="str">
        <f t="shared" si="7"/>
        <v>prosty eurowkręt - 346624</v>
      </c>
      <c r="W24" s="76">
        <v>211476</v>
      </c>
      <c r="X24" s="76" t="str">
        <f t="shared" si="8"/>
        <v>prosty expando - 211476</v>
      </c>
      <c r="Y24" s="75"/>
      <c r="Z24" s="75"/>
    </row>
    <row r="25" spans="1:26" ht="16.350000000000001" customHeight="1">
      <c r="A25" s="80" t="s">
        <v>1201</v>
      </c>
      <c r="B25" s="80" t="s">
        <v>2</v>
      </c>
      <c r="C25" s="80" t="str">
        <f>'Translate&amp;Prices&amp;Logo'!B553</f>
        <v>Nakładany</v>
      </c>
      <c r="D25" s="73" t="str">
        <f t="shared" si="0"/>
        <v>široký_BLUM_Naložený</v>
      </c>
      <c r="E25" s="80" t="str">
        <f>'Translate&amp;Prices&amp;Logo'!$B$582</f>
        <v>ze sprężyną z tłumieniem</v>
      </c>
      <c r="F25" s="75" t="str">
        <f>'Translate&amp;Prices&amp;Logo'!$B$586</f>
        <v>czarny</v>
      </c>
      <c r="G25" s="75" t="str">
        <f t="shared" si="10"/>
        <v>306317 - Nakładany ze sprężyną z tłumieniem - czarny</v>
      </c>
      <c r="H25" s="76" t="s">
        <v>1199</v>
      </c>
      <c r="I25" s="76">
        <v>306317</v>
      </c>
      <c r="J25" s="76" t="s">
        <v>1199</v>
      </c>
      <c r="K25" s="76">
        <v>458360</v>
      </c>
      <c r="L25" s="76" t="str">
        <f t="shared" si="2"/>
        <v>krzyżakowy, wkręt - 458360</v>
      </c>
      <c r="M25" s="76" t="s">
        <v>2243</v>
      </c>
      <c r="N25" s="76" t="str">
        <f t="shared" si="3"/>
        <v>na wkręt (z mimośrodem) - N/A</v>
      </c>
      <c r="O25" s="76" t="s">
        <v>2243</v>
      </c>
      <c r="P25" s="76" t="str">
        <f t="shared" si="4"/>
        <v>krzyżakowy eurowkręt - N/A</v>
      </c>
      <c r="Q25" s="76">
        <v>347124</v>
      </c>
      <c r="R25" s="76" t="str">
        <f t="shared" si="5"/>
        <v>krzyżakowy expando - 347124</v>
      </c>
      <c r="S25" s="76">
        <v>306320</v>
      </c>
      <c r="T25" s="76" t="str">
        <f t="shared" si="6"/>
        <v>prosty wkręt - 306320</v>
      </c>
      <c r="U25" s="76" t="s">
        <v>2243</v>
      </c>
      <c r="V25" s="76" t="str">
        <f t="shared" si="7"/>
        <v>prosty eurowkręt - N/A</v>
      </c>
      <c r="W25" s="76">
        <v>409651</v>
      </c>
      <c r="X25" s="76" t="str">
        <f t="shared" si="8"/>
        <v>prosty expando - 409651</v>
      </c>
      <c r="Y25" s="75"/>
      <c r="Z25" s="75"/>
    </row>
    <row r="26" spans="1:26" ht="16.350000000000001" customHeight="1">
      <c r="A26" s="80" t="s">
        <v>1201</v>
      </c>
      <c r="B26" s="80" t="s">
        <v>2</v>
      </c>
      <c r="C26" s="80" t="str">
        <f>'Translate&amp;Prices&amp;Logo'!B553</f>
        <v>Nakładany</v>
      </c>
      <c r="D26" s="73" t="str">
        <f t="shared" si="0"/>
        <v>široký_BLUM_Naložený</v>
      </c>
      <c r="E26" s="80" t="str">
        <f>'Translate&amp;Prices&amp;Logo'!$B$583</f>
        <v>ze sprężyną bez tłumienia</v>
      </c>
      <c r="F26" s="75" t="str">
        <f>'Translate&amp;Prices&amp;Logo'!$B$585</f>
        <v>srebro</v>
      </c>
      <c r="G26" s="75" t="str">
        <f t="shared" si="10"/>
        <v>12052 - Nakładany ze sprężyną bez tłumienia - srebro</v>
      </c>
      <c r="H26" s="76" t="s">
        <v>1199</v>
      </c>
      <c r="I26" s="76">
        <v>12052</v>
      </c>
      <c r="J26" s="76" t="s">
        <v>1199</v>
      </c>
      <c r="K26" s="76">
        <v>12306</v>
      </c>
      <c r="L26" s="76" t="str">
        <f t="shared" si="2"/>
        <v>krzyżakowy, wkręt - 12306</v>
      </c>
      <c r="M26" s="76" t="s">
        <v>2243</v>
      </c>
      <c r="N26" s="76" t="str">
        <f t="shared" si="3"/>
        <v>na wkręt (z mimośrodem) - N/A</v>
      </c>
      <c r="O26" s="76">
        <v>12318</v>
      </c>
      <c r="P26" s="76" t="str">
        <f t="shared" si="4"/>
        <v>krzyżakowy eurowkręt - 12318</v>
      </c>
      <c r="Q26" s="76">
        <v>12302</v>
      </c>
      <c r="R26" s="76" t="str">
        <f t="shared" si="5"/>
        <v>krzyżakowy expando - 12302</v>
      </c>
      <c r="S26" s="76">
        <v>203387</v>
      </c>
      <c r="T26" s="76" t="str">
        <f t="shared" si="6"/>
        <v>prosty wkręt - 203387</v>
      </c>
      <c r="U26" s="76">
        <v>346624</v>
      </c>
      <c r="V26" s="76" t="str">
        <f t="shared" si="7"/>
        <v>prosty eurowkręt - 346624</v>
      </c>
      <c r="W26" s="76">
        <v>211476</v>
      </c>
      <c r="X26" s="76" t="str">
        <f t="shared" si="8"/>
        <v>prosty expando - 211476</v>
      </c>
      <c r="Y26" s="75"/>
      <c r="Z26" s="75"/>
    </row>
    <row r="27" spans="1:26" ht="16.350000000000001" customHeight="1">
      <c r="A27" s="80" t="s">
        <v>1201</v>
      </c>
      <c r="B27" s="80" t="s">
        <v>2</v>
      </c>
      <c r="C27" s="80" t="str">
        <f>'Translate&amp;Prices&amp;Logo'!B553</f>
        <v>Nakładany</v>
      </c>
      <c r="D27" s="73" t="str">
        <f t="shared" si="0"/>
        <v>široký_BLUM_Naložený</v>
      </c>
      <c r="E27" s="80" t="str">
        <f>'Translate&amp;Prices&amp;Logo'!$B$584</f>
        <v>tip-on bez sprężyny/tłumienie</v>
      </c>
      <c r="F27" s="75" t="str">
        <f>'Translate&amp;Prices&amp;Logo'!$B$585</f>
        <v>srebro</v>
      </c>
      <c r="G27" s="75" t="str">
        <f t="shared" si="10"/>
        <v>226668 - Nakładany tip-on bez sprężyny/tłumienie - srebro</v>
      </c>
      <c r="H27" s="76" t="s">
        <v>1199</v>
      </c>
      <c r="I27" s="76">
        <v>226668</v>
      </c>
      <c r="J27" s="76" t="s">
        <v>1199</v>
      </c>
      <c r="K27" s="76">
        <v>12306</v>
      </c>
      <c r="L27" s="76" t="str">
        <f t="shared" si="2"/>
        <v>krzyżakowy, wkręt - 12306</v>
      </c>
      <c r="M27" s="76" t="s">
        <v>2243</v>
      </c>
      <c r="N27" s="76" t="str">
        <f t="shared" si="3"/>
        <v>na wkręt (z mimośrodem) - N/A</v>
      </c>
      <c r="O27" s="76">
        <v>12318</v>
      </c>
      <c r="P27" s="76" t="str">
        <f t="shared" si="4"/>
        <v>krzyżakowy eurowkręt - 12318</v>
      </c>
      <c r="Q27" s="76">
        <v>12302</v>
      </c>
      <c r="R27" s="76" t="str">
        <f t="shared" si="5"/>
        <v>krzyżakowy expando - 12302</v>
      </c>
      <c r="S27" s="76">
        <v>203387</v>
      </c>
      <c r="T27" s="76" t="str">
        <f t="shared" si="6"/>
        <v>prosty wkręt - 203387</v>
      </c>
      <c r="U27" s="76">
        <v>346624</v>
      </c>
      <c r="V27" s="76" t="str">
        <f t="shared" si="7"/>
        <v>prosty eurowkręt - 346624</v>
      </c>
      <c r="W27" s="76">
        <v>211476</v>
      </c>
      <c r="X27" s="76" t="str">
        <f t="shared" si="8"/>
        <v>prosty expando - 211476</v>
      </c>
      <c r="Y27" s="75"/>
      <c r="Z27" s="75"/>
    </row>
    <row r="28" spans="1:26" ht="16.350000000000001" customHeight="1">
      <c r="A28" s="80" t="s">
        <v>1201</v>
      </c>
      <c r="B28" s="80" t="s">
        <v>2</v>
      </c>
      <c r="C28" s="80" t="str">
        <f>'Translate&amp;Prices&amp;Logo'!B553</f>
        <v>Nakładany</v>
      </c>
      <c r="D28" s="73" t="str">
        <f t="shared" si="0"/>
        <v>široký_BLUM_Naložený</v>
      </c>
      <c r="E28" s="80" t="str">
        <f>'Translate&amp;Prices&amp;Logo'!$B$584</f>
        <v>tip-on bez sprężyny/tłumienie</v>
      </c>
      <c r="F28" s="75" t="s">
        <v>2706</v>
      </c>
      <c r="G28" s="75" t="str">
        <f>CONCATENATE(H28," ","-"," ",C28," ",E28," - ",F28)</f>
        <v>318173 - Nakładany tip-on bez sprężyny/tłumienie - onyx</v>
      </c>
      <c r="H28" s="76">
        <v>318173</v>
      </c>
      <c r="Q28" s="76">
        <v>347124</v>
      </c>
      <c r="R28" s="76" t="str">
        <f t="shared" si="5"/>
        <v>krzyżakowy expando - 347124</v>
      </c>
      <c r="S28" s="76">
        <v>306320</v>
      </c>
      <c r="T28" s="76" t="str">
        <f t="shared" ref="T28" si="11">CONCATENATE($S$1," - ",S28)</f>
        <v>prosty wkręt - 306320</v>
      </c>
      <c r="X28" s="76"/>
      <c r="Y28" s="75"/>
      <c r="Z28" s="75"/>
    </row>
    <row r="29" spans="1:26" ht="16.350000000000001" customHeight="1">
      <c r="A29" s="75" t="s">
        <v>1201</v>
      </c>
      <c r="B29" s="75" t="s">
        <v>2</v>
      </c>
      <c r="C29" s="75" t="str">
        <f>'Translate&amp;Prices&amp;Logo'!B554</f>
        <v>Półnakładany</v>
      </c>
      <c r="D29" s="73" t="str">
        <f t="shared" si="0"/>
        <v>široký_BLUM_Polonaložený</v>
      </c>
      <c r="E29" s="75" t="str">
        <f>'Translate&amp;Prices&amp;Logo'!$B$582</f>
        <v>ze sprężyną z tłumieniem</v>
      </c>
      <c r="F29" s="75" t="str">
        <f>'Translate&amp;Prices&amp;Logo'!$B$585</f>
        <v>srebro</v>
      </c>
      <c r="G29" s="75" t="str">
        <f t="shared" si="10"/>
        <v>12048 - Półnakładany ze sprężyną z tłumieniem - srebro</v>
      </c>
      <c r="H29" s="76" t="s">
        <v>1199</v>
      </c>
      <c r="I29" s="76">
        <v>12048</v>
      </c>
      <c r="J29" s="76" t="s">
        <v>1199</v>
      </c>
      <c r="K29" s="76">
        <v>12306</v>
      </c>
      <c r="L29" s="76" t="str">
        <f t="shared" si="2"/>
        <v>krzyżakowy, wkręt - 12306</v>
      </c>
      <c r="M29" s="76" t="s">
        <v>2243</v>
      </c>
      <c r="N29" s="76" t="str">
        <f t="shared" si="3"/>
        <v>na wkręt (z mimośrodem) - N/A</v>
      </c>
      <c r="O29" s="76">
        <v>12318</v>
      </c>
      <c r="P29" s="76" t="str">
        <f t="shared" si="4"/>
        <v>krzyżakowy eurowkręt - 12318</v>
      </c>
      <c r="Q29" s="76">
        <v>12302</v>
      </c>
      <c r="R29" s="76" t="str">
        <f t="shared" si="5"/>
        <v>krzyżakowy expando - 12302</v>
      </c>
      <c r="S29" s="76">
        <v>203387</v>
      </c>
      <c r="T29" s="76" t="str">
        <f t="shared" si="6"/>
        <v>prosty wkręt - 203387</v>
      </c>
      <c r="U29" s="76">
        <v>346624</v>
      </c>
      <c r="V29" s="76" t="str">
        <f t="shared" si="7"/>
        <v>prosty eurowkręt - 346624</v>
      </c>
      <c r="W29" s="76">
        <v>211476</v>
      </c>
      <c r="X29" s="76" t="str">
        <f t="shared" si="8"/>
        <v>prosty expando - 211476</v>
      </c>
      <c r="Y29" s="75"/>
      <c r="Z29" s="75"/>
    </row>
    <row r="30" spans="1:26" ht="16.350000000000001" customHeight="1">
      <c r="A30" s="75" t="s">
        <v>1201</v>
      </c>
      <c r="B30" s="75" t="s">
        <v>2</v>
      </c>
      <c r="C30" s="75" t="str">
        <f>'Translate&amp;Prices&amp;Logo'!B554</f>
        <v>Półnakładany</v>
      </c>
      <c r="D30" s="73" t="str">
        <f t="shared" si="0"/>
        <v>široký_BLUM_Polonaložený</v>
      </c>
      <c r="E30" s="75" t="str">
        <f>'Translate&amp;Prices&amp;Logo'!$B$582</f>
        <v>ze sprężyną z tłumieniem</v>
      </c>
      <c r="F30" s="75" t="str">
        <f>'Translate&amp;Prices&amp;Logo'!$B$586</f>
        <v>czarny</v>
      </c>
      <c r="G30" s="75" t="str">
        <f t="shared" si="10"/>
        <v>306318 - Półnakładany ze sprężyną z tłumieniem - czarny</v>
      </c>
      <c r="H30" s="76" t="s">
        <v>1199</v>
      </c>
      <c r="I30" s="76">
        <v>306318</v>
      </c>
      <c r="J30" s="76" t="s">
        <v>1199</v>
      </c>
      <c r="K30" s="76">
        <v>458360</v>
      </c>
      <c r="L30" s="76" t="str">
        <f t="shared" si="2"/>
        <v>krzyżakowy, wkręt - 458360</v>
      </c>
      <c r="M30" s="76" t="s">
        <v>2243</v>
      </c>
      <c r="N30" s="76" t="str">
        <f t="shared" si="3"/>
        <v>na wkręt (z mimośrodem) - N/A</v>
      </c>
      <c r="O30" s="76" t="s">
        <v>2243</v>
      </c>
      <c r="P30" s="76" t="str">
        <f t="shared" si="4"/>
        <v>krzyżakowy eurowkręt - N/A</v>
      </c>
      <c r="Q30" s="76">
        <v>347124</v>
      </c>
      <c r="R30" s="76" t="str">
        <f t="shared" si="5"/>
        <v>krzyżakowy expando - 347124</v>
      </c>
      <c r="S30" s="76">
        <v>306320</v>
      </c>
      <c r="T30" s="76" t="str">
        <f t="shared" si="6"/>
        <v>prosty wkręt - 306320</v>
      </c>
      <c r="U30" s="76" t="s">
        <v>2243</v>
      </c>
      <c r="V30" s="76" t="str">
        <f t="shared" si="7"/>
        <v>prosty eurowkręt - N/A</v>
      </c>
      <c r="W30" s="76">
        <v>409651</v>
      </c>
      <c r="X30" s="76" t="str">
        <f t="shared" si="8"/>
        <v>prosty expando - 409651</v>
      </c>
      <c r="Y30" s="75"/>
      <c r="Z30" s="75"/>
    </row>
    <row r="31" spans="1:26" ht="16.350000000000001" customHeight="1">
      <c r="A31" s="75" t="s">
        <v>1201</v>
      </c>
      <c r="B31" s="75" t="s">
        <v>2</v>
      </c>
      <c r="C31" s="75" t="str">
        <f>'Translate&amp;Prices&amp;Logo'!B554</f>
        <v>Półnakładany</v>
      </c>
      <c r="D31" s="73" t="str">
        <f t="shared" si="0"/>
        <v>široký_BLUM_Polonaložený</v>
      </c>
      <c r="E31" s="75" t="str">
        <f>'Translate&amp;Prices&amp;Logo'!$B$583</f>
        <v>ze sprężyną bez tłumienia</v>
      </c>
      <c r="F31" s="75" t="str">
        <f>'Translate&amp;Prices&amp;Logo'!$B$585</f>
        <v>srebro</v>
      </c>
      <c r="G31" s="75" t="str">
        <f t="shared" si="10"/>
        <v>12053 - Półnakładany ze sprężyną bez tłumienia - srebro</v>
      </c>
      <c r="H31" s="76" t="s">
        <v>1199</v>
      </c>
      <c r="I31" s="76">
        <v>12053</v>
      </c>
      <c r="J31" s="76" t="s">
        <v>1199</v>
      </c>
      <c r="K31" s="76">
        <v>12306</v>
      </c>
      <c r="L31" s="76" t="str">
        <f t="shared" si="2"/>
        <v>krzyżakowy, wkręt - 12306</v>
      </c>
      <c r="M31" s="76" t="s">
        <v>2243</v>
      </c>
      <c r="N31" s="76" t="str">
        <f t="shared" si="3"/>
        <v>na wkręt (z mimośrodem) - N/A</v>
      </c>
      <c r="O31" s="76">
        <v>12318</v>
      </c>
      <c r="P31" s="76" t="str">
        <f t="shared" si="4"/>
        <v>krzyżakowy eurowkręt - 12318</v>
      </c>
      <c r="Q31" s="76">
        <v>12302</v>
      </c>
      <c r="R31" s="76" t="str">
        <f t="shared" si="5"/>
        <v>krzyżakowy expando - 12302</v>
      </c>
      <c r="S31" s="76">
        <v>203387</v>
      </c>
      <c r="T31" s="76" t="str">
        <f t="shared" si="6"/>
        <v>prosty wkręt - 203387</v>
      </c>
      <c r="U31" s="76">
        <v>346624</v>
      </c>
      <c r="V31" s="76" t="str">
        <f t="shared" si="7"/>
        <v>prosty eurowkręt - 346624</v>
      </c>
      <c r="W31" s="76">
        <v>211476</v>
      </c>
      <c r="X31" s="76" t="str">
        <f t="shared" si="8"/>
        <v>prosty expando - 211476</v>
      </c>
      <c r="Y31" s="75"/>
      <c r="Z31" s="75"/>
    </row>
    <row r="32" spans="1:26" ht="16.350000000000001" customHeight="1">
      <c r="A32" s="75" t="s">
        <v>1201</v>
      </c>
      <c r="B32" s="75" t="s">
        <v>2</v>
      </c>
      <c r="C32" s="75" t="str">
        <f>'Translate&amp;Prices&amp;Logo'!B554</f>
        <v>Półnakładany</v>
      </c>
      <c r="D32" s="73" t="str">
        <f t="shared" si="0"/>
        <v>široký_BLUM_Polonaložený</v>
      </c>
      <c r="E32" s="75" t="str">
        <f>'Translate&amp;Prices&amp;Logo'!$B$584</f>
        <v>tip-on bez sprężyny/tłumienie</v>
      </c>
      <c r="F32" s="75" t="str">
        <f>'Translate&amp;Prices&amp;Logo'!$B$585</f>
        <v>srebro</v>
      </c>
      <c r="G32" s="75" t="str">
        <f t="shared" si="10"/>
        <v>226670 - Półnakładany tip-on bez sprężyny/tłumienie - srebro</v>
      </c>
      <c r="H32" s="76" t="s">
        <v>1199</v>
      </c>
      <c r="I32" s="76">
        <v>226670</v>
      </c>
      <c r="J32" s="76" t="s">
        <v>1199</v>
      </c>
      <c r="K32" s="76">
        <v>12306</v>
      </c>
      <c r="L32" s="76" t="str">
        <f t="shared" si="2"/>
        <v>krzyżakowy, wkręt - 12306</v>
      </c>
      <c r="M32" s="76" t="s">
        <v>2243</v>
      </c>
      <c r="N32" s="76" t="str">
        <f t="shared" si="3"/>
        <v>na wkręt (z mimośrodem) - N/A</v>
      </c>
      <c r="O32" s="76">
        <v>12318</v>
      </c>
      <c r="P32" s="76" t="str">
        <f t="shared" si="4"/>
        <v>krzyżakowy eurowkręt - 12318</v>
      </c>
      <c r="Q32" s="76">
        <v>12302</v>
      </c>
      <c r="R32" s="76" t="str">
        <f t="shared" si="5"/>
        <v>krzyżakowy expando - 12302</v>
      </c>
      <c r="S32" s="76">
        <v>203387</v>
      </c>
      <c r="T32" s="76" t="str">
        <f t="shared" si="6"/>
        <v>prosty wkręt - 203387</v>
      </c>
      <c r="U32" s="76">
        <v>346624</v>
      </c>
      <c r="V32" s="76" t="str">
        <f t="shared" si="7"/>
        <v>prosty eurowkręt - 346624</v>
      </c>
      <c r="W32" s="76">
        <v>211476</v>
      </c>
      <c r="X32" s="76" t="str">
        <f t="shared" si="8"/>
        <v>prosty expando - 211476</v>
      </c>
      <c r="Y32" s="75"/>
      <c r="Z32" s="75"/>
    </row>
    <row r="33" spans="1:26" ht="16.350000000000001" customHeight="1">
      <c r="A33" s="80" t="s">
        <v>1201</v>
      </c>
      <c r="B33" s="80" t="s">
        <v>2</v>
      </c>
      <c r="C33" s="80" t="str">
        <f>'Translate&amp;Prices&amp;Logo'!B555</f>
        <v>Wpuszczany</v>
      </c>
      <c r="D33" s="73" t="str">
        <f t="shared" si="0"/>
        <v>široký_BLUM_Vložený</v>
      </c>
      <c r="E33" s="80" t="str">
        <f>'Translate&amp;Prices&amp;Logo'!$B$582</f>
        <v>ze sprężyną z tłumieniem</v>
      </c>
      <c r="F33" s="75" t="str">
        <f>'Translate&amp;Prices&amp;Logo'!$B$585</f>
        <v>srebro</v>
      </c>
      <c r="G33" s="75" t="str">
        <f t="shared" si="10"/>
        <v>12049 - Wpuszczany ze sprężyną z tłumieniem - srebro</v>
      </c>
      <c r="H33" s="76" t="s">
        <v>1199</v>
      </c>
      <c r="I33" s="76">
        <v>12049</v>
      </c>
      <c r="J33" s="76" t="s">
        <v>1199</v>
      </c>
      <c r="K33" s="76">
        <v>12306</v>
      </c>
      <c r="L33" s="76" t="str">
        <f t="shared" si="2"/>
        <v>krzyżakowy, wkręt - 12306</v>
      </c>
      <c r="M33" s="76" t="s">
        <v>2243</v>
      </c>
      <c r="N33" s="76" t="str">
        <f t="shared" si="3"/>
        <v>na wkręt (z mimośrodem) - N/A</v>
      </c>
      <c r="O33" s="76">
        <v>12318</v>
      </c>
      <c r="P33" s="76" t="str">
        <f t="shared" si="4"/>
        <v>krzyżakowy eurowkręt - 12318</v>
      </c>
      <c r="Q33" s="76">
        <v>12302</v>
      </c>
      <c r="R33" s="76" t="str">
        <f t="shared" si="5"/>
        <v>krzyżakowy expando - 12302</v>
      </c>
      <c r="S33" s="76">
        <v>203387</v>
      </c>
      <c r="T33" s="76" t="str">
        <f t="shared" si="6"/>
        <v>prosty wkręt - 203387</v>
      </c>
      <c r="U33" s="76">
        <v>346624</v>
      </c>
      <c r="V33" s="76" t="str">
        <f t="shared" si="7"/>
        <v>prosty eurowkręt - 346624</v>
      </c>
      <c r="W33" s="76">
        <v>211476</v>
      </c>
      <c r="X33" s="76" t="str">
        <f t="shared" si="8"/>
        <v>prosty expando - 211476</v>
      </c>
      <c r="Y33" s="75"/>
      <c r="Z33" s="75"/>
    </row>
    <row r="34" spans="1:26" ht="16.350000000000001" customHeight="1">
      <c r="A34" s="80" t="s">
        <v>1201</v>
      </c>
      <c r="B34" s="80" t="s">
        <v>2</v>
      </c>
      <c r="C34" s="80" t="str">
        <f>'Translate&amp;Prices&amp;Logo'!B555</f>
        <v>Wpuszczany</v>
      </c>
      <c r="D34" s="73" t="str">
        <f t="shared" si="0"/>
        <v>široký_BLUM_Vložený</v>
      </c>
      <c r="E34" s="80" t="str">
        <f>'Translate&amp;Prices&amp;Logo'!$B$582</f>
        <v>ze sprężyną z tłumieniem</v>
      </c>
      <c r="F34" s="75" t="str">
        <f>'Translate&amp;Prices&amp;Logo'!$B$586</f>
        <v>czarny</v>
      </c>
      <c r="G34" s="75" t="str">
        <f t="shared" si="10"/>
        <v>306319 - Wpuszczany ze sprężyną z tłumieniem - czarny</v>
      </c>
      <c r="H34" s="76" t="s">
        <v>1199</v>
      </c>
      <c r="I34" s="76">
        <v>306319</v>
      </c>
      <c r="J34" s="76" t="s">
        <v>1199</v>
      </c>
      <c r="K34" s="76">
        <v>458360</v>
      </c>
      <c r="L34" s="76" t="str">
        <f t="shared" si="2"/>
        <v>krzyżakowy, wkręt - 458360</v>
      </c>
      <c r="M34" s="76" t="s">
        <v>2243</v>
      </c>
      <c r="N34" s="76" t="str">
        <f t="shared" si="3"/>
        <v>na wkręt (z mimośrodem) - N/A</v>
      </c>
      <c r="O34" s="76" t="s">
        <v>2243</v>
      </c>
      <c r="P34" s="76" t="str">
        <f t="shared" si="4"/>
        <v>krzyżakowy eurowkręt - N/A</v>
      </c>
      <c r="Q34" s="76">
        <v>347124</v>
      </c>
      <c r="R34" s="76" t="str">
        <f t="shared" si="5"/>
        <v>krzyżakowy expando - 347124</v>
      </c>
      <c r="S34" s="76">
        <v>306320</v>
      </c>
      <c r="T34" s="76" t="str">
        <f t="shared" si="6"/>
        <v>prosty wkręt - 306320</v>
      </c>
      <c r="U34" s="76" t="s">
        <v>2243</v>
      </c>
      <c r="V34" s="76" t="str">
        <f t="shared" si="7"/>
        <v>prosty eurowkręt - N/A</v>
      </c>
      <c r="W34" s="76">
        <v>409651</v>
      </c>
      <c r="X34" s="76" t="str">
        <f t="shared" si="8"/>
        <v>prosty expando - 409651</v>
      </c>
      <c r="Y34" s="75"/>
      <c r="Z34" s="75"/>
    </row>
    <row r="35" spans="1:26" ht="16.350000000000001" customHeight="1">
      <c r="A35" s="80" t="s">
        <v>1201</v>
      </c>
      <c r="B35" s="80" t="s">
        <v>2</v>
      </c>
      <c r="C35" s="80" t="str">
        <f>'Translate&amp;Prices&amp;Logo'!B555</f>
        <v>Wpuszczany</v>
      </c>
      <c r="D35" s="73" t="str">
        <f t="shared" si="0"/>
        <v>široký_BLUM_Vložený</v>
      </c>
      <c r="E35" s="80" t="str">
        <f>'Translate&amp;Prices&amp;Logo'!$B$583</f>
        <v>ze sprężyną bez tłumienia</v>
      </c>
      <c r="F35" s="75" t="str">
        <f>'Translate&amp;Prices&amp;Logo'!$B$585</f>
        <v>srebro</v>
      </c>
      <c r="G35" s="75" t="str">
        <f t="shared" si="10"/>
        <v>12059 - Wpuszczany ze sprężyną bez tłumienia - srebro</v>
      </c>
      <c r="H35" s="76" t="s">
        <v>1199</v>
      </c>
      <c r="I35" s="76">
        <v>12059</v>
      </c>
      <c r="J35" s="76" t="s">
        <v>1199</v>
      </c>
      <c r="K35" s="76">
        <v>12306</v>
      </c>
      <c r="L35" s="76" t="str">
        <f t="shared" si="2"/>
        <v>krzyżakowy, wkręt - 12306</v>
      </c>
      <c r="M35" s="76" t="s">
        <v>2243</v>
      </c>
      <c r="N35" s="76" t="str">
        <f t="shared" si="3"/>
        <v>na wkręt (z mimośrodem) - N/A</v>
      </c>
      <c r="O35" s="76">
        <v>12318</v>
      </c>
      <c r="P35" s="76" t="str">
        <f t="shared" si="4"/>
        <v>krzyżakowy eurowkręt - 12318</v>
      </c>
      <c r="Q35" s="76">
        <v>12302</v>
      </c>
      <c r="R35" s="76" t="str">
        <f t="shared" si="5"/>
        <v>krzyżakowy expando - 12302</v>
      </c>
      <c r="S35" s="76">
        <v>203387</v>
      </c>
      <c r="T35" s="76" t="str">
        <f t="shared" si="6"/>
        <v>prosty wkręt - 203387</v>
      </c>
      <c r="U35" s="76">
        <v>346624</v>
      </c>
      <c r="V35" s="76" t="str">
        <f t="shared" si="7"/>
        <v>prosty eurowkręt - 346624</v>
      </c>
      <c r="W35" s="76">
        <v>211476</v>
      </c>
      <c r="X35" s="76" t="str">
        <f t="shared" si="8"/>
        <v>prosty expando - 211476</v>
      </c>
      <c r="Y35" s="75"/>
      <c r="Z35" s="75"/>
    </row>
    <row r="36" spans="1:26" ht="15">
      <c r="A36" s="80" t="s">
        <v>1201</v>
      </c>
      <c r="B36" s="80" t="s">
        <v>2</v>
      </c>
      <c r="C36" s="80" t="str">
        <f>'Translate&amp;Prices&amp;Logo'!B555</f>
        <v>Wpuszczany</v>
      </c>
      <c r="D36" s="73" t="str">
        <f t="shared" si="0"/>
        <v>široký_BLUM_Vložený</v>
      </c>
      <c r="E36" s="80" t="str">
        <f>'Translate&amp;Prices&amp;Logo'!$B$584</f>
        <v>tip-on bez sprężyny/tłumienie</v>
      </c>
      <c r="F36" s="75" t="str">
        <f>'Translate&amp;Prices&amp;Logo'!$B$585</f>
        <v>srebro</v>
      </c>
      <c r="G36" s="75" t="str">
        <f t="shared" si="10"/>
        <v>226671 - Wpuszczany tip-on bez sprężyny/tłumienie - srebro</v>
      </c>
      <c r="H36" s="76" t="s">
        <v>1199</v>
      </c>
      <c r="I36" s="76">
        <v>226671</v>
      </c>
      <c r="J36" s="76" t="s">
        <v>1199</v>
      </c>
      <c r="K36" s="76">
        <v>12306</v>
      </c>
      <c r="L36" s="76" t="str">
        <f t="shared" si="2"/>
        <v>krzyżakowy, wkręt - 12306</v>
      </c>
      <c r="M36" s="76" t="s">
        <v>2243</v>
      </c>
      <c r="N36" s="76" t="str">
        <f t="shared" si="3"/>
        <v>na wkręt (z mimośrodem) - N/A</v>
      </c>
      <c r="O36" s="76">
        <v>12318</v>
      </c>
      <c r="P36" s="76" t="str">
        <f t="shared" si="4"/>
        <v>krzyżakowy eurowkręt - 12318</v>
      </c>
      <c r="Q36" s="76">
        <v>12302</v>
      </c>
      <c r="R36" s="76" t="str">
        <f t="shared" si="5"/>
        <v>krzyżakowy expando - 12302</v>
      </c>
      <c r="S36" s="76">
        <v>203387</v>
      </c>
      <c r="T36" s="76" t="str">
        <f t="shared" si="6"/>
        <v>prosty wkręt - 203387</v>
      </c>
      <c r="U36" s="76">
        <v>346624</v>
      </c>
      <c r="V36" s="76" t="str">
        <f t="shared" si="7"/>
        <v>prosty eurowkręt - 346624</v>
      </c>
      <c r="W36" s="76">
        <v>211476</v>
      </c>
      <c r="X36" s="76" t="str">
        <f t="shared" si="8"/>
        <v>prosty expando - 211476</v>
      </c>
      <c r="Y36" s="75"/>
      <c r="Z36" s="75"/>
    </row>
    <row r="37" spans="1:26" ht="15">
      <c r="A37" s="75" t="s">
        <v>1201</v>
      </c>
      <c r="B37" s="75" t="s">
        <v>578</v>
      </c>
      <c r="C37" s="75" t="str">
        <f>'Translate&amp;Prices&amp;Logo'!B553</f>
        <v>Nakładany</v>
      </c>
      <c r="D37" s="73" t="str">
        <f t="shared" si="0"/>
        <v>široký_HETTICH_Naložený</v>
      </c>
      <c r="E37" s="75" t="str">
        <f>'Translate&amp;Prices&amp;Logo'!$B$582</f>
        <v>ze sprężyną z tłumieniem</v>
      </c>
      <c r="F37" s="75" t="str">
        <f>'Translate&amp;Prices&amp;Logo'!$B$585</f>
        <v>srebro</v>
      </c>
      <c r="G37" s="75" t="str">
        <f t="shared" si="10"/>
        <v>104717 - Nakładany ze sprężyną z tłumieniem - srebro</v>
      </c>
      <c r="H37" s="76" t="s">
        <v>1199</v>
      </c>
      <c r="I37" s="76">
        <v>104717</v>
      </c>
      <c r="J37" s="76" t="s">
        <v>1199</v>
      </c>
      <c r="K37" s="76">
        <v>106403</v>
      </c>
      <c r="L37" s="76" t="str">
        <f t="shared" si="2"/>
        <v>krzyżakowy, wkręt - 106403</v>
      </c>
      <c r="M37" s="76" t="s">
        <v>2243</v>
      </c>
      <c r="N37" s="76" t="str">
        <f t="shared" si="3"/>
        <v>na wkręt (z mimośrodem) - N/A</v>
      </c>
      <c r="O37" s="76">
        <v>119240</v>
      </c>
      <c r="P37" s="76" t="str">
        <f t="shared" si="4"/>
        <v>krzyżakowy eurowkręt - 119240</v>
      </c>
      <c r="Q37" s="76">
        <v>136276</v>
      </c>
      <c r="R37" s="76" t="str">
        <f t="shared" si="5"/>
        <v>krzyżakowy expando - 136276</v>
      </c>
      <c r="S37" s="76">
        <v>300319</v>
      </c>
      <c r="T37" s="76" t="str">
        <f t="shared" si="6"/>
        <v>prosty wkręt - 300319</v>
      </c>
      <c r="U37" s="76" t="s">
        <v>2243</v>
      </c>
      <c r="V37" s="76" t="str">
        <f t="shared" si="7"/>
        <v>prosty eurowkręt - N/A</v>
      </c>
      <c r="W37" s="76" t="s">
        <v>2243</v>
      </c>
      <c r="X37" s="76" t="str">
        <f t="shared" si="8"/>
        <v>prosty expando - N/A</v>
      </c>
      <c r="Y37" s="75"/>
      <c r="Z37" s="75"/>
    </row>
    <row r="38" spans="1:26" ht="15">
      <c r="A38" s="75" t="s">
        <v>1201</v>
      </c>
      <c r="B38" s="75" t="s">
        <v>578</v>
      </c>
      <c r="C38" s="75" t="str">
        <f>'Translate&amp;Prices&amp;Logo'!B553</f>
        <v>Nakładany</v>
      </c>
      <c r="D38" s="73" t="str">
        <f t="shared" si="0"/>
        <v>široký_HETTICH_Naložený</v>
      </c>
      <c r="E38" s="75" t="str">
        <f>'Translate&amp;Prices&amp;Logo'!$B$582</f>
        <v>ze sprężyną z tłumieniem</v>
      </c>
      <c r="F38" s="75" t="str">
        <f>'Translate&amp;Prices&amp;Logo'!$B$586</f>
        <v>czarny</v>
      </c>
      <c r="G38" s="75" t="str">
        <f t="shared" si="10"/>
        <v>344691 - Nakładany ze sprężyną z tłumieniem - czarny</v>
      </c>
      <c r="H38" s="76" t="s">
        <v>1199</v>
      </c>
      <c r="I38" s="76">
        <v>344691</v>
      </c>
      <c r="J38" s="76" t="s">
        <v>1199</v>
      </c>
      <c r="K38" s="76" t="s">
        <v>2243</v>
      </c>
      <c r="L38" s="76" t="str">
        <f t="shared" si="2"/>
        <v>krzyżakowy, wkręt - N/A</v>
      </c>
      <c r="M38" s="76" t="s">
        <v>2243</v>
      </c>
      <c r="N38" s="76" t="str">
        <f t="shared" si="3"/>
        <v>na wkręt (z mimośrodem) - N/A</v>
      </c>
      <c r="O38" s="76">
        <v>344723</v>
      </c>
      <c r="P38" s="76" t="str">
        <f t="shared" si="4"/>
        <v>krzyżakowy eurowkręt - 344723</v>
      </c>
      <c r="Q38" s="76">
        <v>344727</v>
      </c>
      <c r="R38" s="76" t="str">
        <f t="shared" si="5"/>
        <v>krzyżakowy expando - 344727</v>
      </c>
      <c r="S38" s="76">
        <v>397949</v>
      </c>
      <c r="T38" s="76" t="str">
        <f t="shared" si="6"/>
        <v>prosty wkręt - 397949</v>
      </c>
      <c r="U38" s="76" t="s">
        <v>2243</v>
      </c>
      <c r="V38" s="76" t="str">
        <f t="shared" si="7"/>
        <v>prosty eurowkręt - N/A</v>
      </c>
      <c r="W38" s="76" t="s">
        <v>2243</v>
      </c>
      <c r="X38" s="76" t="str">
        <f t="shared" si="8"/>
        <v>prosty expando - N/A</v>
      </c>
      <c r="Y38" s="75"/>
      <c r="Z38" s="75"/>
    </row>
    <row r="39" spans="1:26" ht="15">
      <c r="A39" s="75" t="s">
        <v>1201</v>
      </c>
      <c r="B39" s="75" t="s">
        <v>578</v>
      </c>
      <c r="C39" s="75" t="str">
        <f>'Translate&amp;Prices&amp;Logo'!B553</f>
        <v>Nakładany</v>
      </c>
      <c r="D39" s="73" t="str">
        <f t="shared" si="0"/>
        <v>široký_HETTICH_Naložený</v>
      </c>
      <c r="E39" s="75" t="str">
        <f>'Translate&amp;Prices&amp;Logo'!$B$583</f>
        <v>ze sprężyną bez tłumienia</v>
      </c>
      <c r="F39" s="75" t="str">
        <f>'Translate&amp;Prices&amp;Logo'!$B$585</f>
        <v>srebro</v>
      </c>
      <c r="G39" s="75" t="str">
        <f t="shared" si="10"/>
        <v>232346 - Nakładany ze sprężyną bez tłumienia - srebro</v>
      </c>
      <c r="H39" s="76" t="s">
        <v>1199</v>
      </c>
      <c r="I39" s="76">
        <v>232346</v>
      </c>
      <c r="J39" s="76" t="s">
        <v>1199</v>
      </c>
      <c r="K39" s="76">
        <v>106403</v>
      </c>
      <c r="L39" s="76" t="str">
        <f t="shared" si="2"/>
        <v>krzyżakowy, wkręt - 106403</v>
      </c>
      <c r="M39" s="76" t="s">
        <v>2243</v>
      </c>
      <c r="N39" s="76" t="str">
        <f t="shared" si="3"/>
        <v>na wkręt (z mimośrodem) - N/A</v>
      </c>
      <c r="O39" s="76">
        <v>119240</v>
      </c>
      <c r="P39" s="76" t="str">
        <f t="shared" si="4"/>
        <v>krzyżakowy eurowkręt - 119240</v>
      </c>
      <c r="Q39" s="76">
        <v>136276</v>
      </c>
      <c r="R39" s="76" t="str">
        <f t="shared" si="5"/>
        <v>krzyżakowy expando - 136276</v>
      </c>
      <c r="S39" s="76">
        <v>300319</v>
      </c>
      <c r="T39" s="76" t="str">
        <f t="shared" si="6"/>
        <v>prosty wkręt - 300319</v>
      </c>
      <c r="U39" s="76" t="s">
        <v>2243</v>
      </c>
      <c r="V39" s="76" t="str">
        <f t="shared" si="7"/>
        <v>prosty eurowkręt - N/A</v>
      </c>
      <c r="W39" s="76" t="s">
        <v>2243</v>
      </c>
      <c r="X39" s="76" t="str">
        <f t="shared" si="8"/>
        <v>prosty expando - N/A</v>
      </c>
      <c r="Y39" s="75"/>
      <c r="Z39" s="75"/>
    </row>
    <row r="40" spans="1:26" ht="15">
      <c r="A40" s="75" t="s">
        <v>1201</v>
      </c>
      <c r="B40" s="75" t="s">
        <v>578</v>
      </c>
      <c r="C40" s="75" t="str">
        <f>'Translate&amp;Prices&amp;Logo'!B553</f>
        <v>Nakładany</v>
      </c>
      <c r="D40" s="73" t="str">
        <f t="shared" si="0"/>
        <v>široký_HETTICH_Naložený</v>
      </c>
      <c r="E40" s="75" t="str">
        <f>'Translate&amp;Prices&amp;Logo'!$B$584</f>
        <v>tip-on bez sprężyny/tłumienie</v>
      </c>
      <c r="F40" s="75" t="str">
        <f>'Translate&amp;Prices&amp;Logo'!$B$585</f>
        <v>srebro</v>
      </c>
      <c r="G40" s="75" t="str">
        <f t="shared" si="10"/>
        <v>245723 - Nakładany tip-on bez sprężyny/tłumienie - srebro</v>
      </c>
      <c r="H40" s="76" t="s">
        <v>1199</v>
      </c>
      <c r="I40" s="76">
        <v>245723</v>
      </c>
      <c r="J40" s="76" t="s">
        <v>1199</v>
      </c>
      <c r="K40" s="76">
        <v>106403</v>
      </c>
      <c r="L40" s="76" t="str">
        <f t="shared" si="2"/>
        <v>krzyżakowy, wkręt - 106403</v>
      </c>
      <c r="M40" s="76" t="s">
        <v>2243</v>
      </c>
      <c r="N40" s="76" t="str">
        <f t="shared" si="3"/>
        <v>na wkręt (z mimośrodem) - N/A</v>
      </c>
      <c r="O40" s="76">
        <v>119240</v>
      </c>
      <c r="P40" s="76" t="str">
        <f t="shared" si="4"/>
        <v>krzyżakowy eurowkręt - 119240</v>
      </c>
      <c r="Q40" s="76">
        <v>136276</v>
      </c>
      <c r="R40" s="76" t="str">
        <f t="shared" si="5"/>
        <v>krzyżakowy expando - 136276</v>
      </c>
      <c r="S40" s="76">
        <v>300319</v>
      </c>
      <c r="T40" s="76" t="str">
        <f t="shared" si="6"/>
        <v>prosty wkręt - 300319</v>
      </c>
      <c r="U40" s="76" t="s">
        <v>2243</v>
      </c>
      <c r="V40" s="76" t="str">
        <f t="shared" si="7"/>
        <v>prosty eurowkręt - N/A</v>
      </c>
      <c r="W40" s="76" t="s">
        <v>2243</v>
      </c>
      <c r="X40" s="76" t="str">
        <f t="shared" si="8"/>
        <v>prosty expando - N/A</v>
      </c>
      <c r="Y40" s="75"/>
      <c r="Z40" s="75"/>
    </row>
    <row r="41" spans="1:26" ht="15">
      <c r="A41" s="75" t="s">
        <v>1201</v>
      </c>
      <c r="B41" s="75" t="s">
        <v>578</v>
      </c>
      <c r="C41" s="75" t="str">
        <f>'Translate&amp;Prices&amp;Logo'!B553</f>
        <v>Nakładany</v>
      </c>
      <c r="D41" s="73" t="str">
        <f t="shared" si="0"/>
        <v>široký_HETTICH_Naložený</v>
      </c>
      <c r="E41" s="75" t="str">
        <f>'Translate&amp;Prices&amp;Logo'!$B$584</f>
        <v>tip-on bez sprężyny/tłumienie</v>
      </c>
      <c r="F41" s="75" t="str">
        <f>'Translate&amp;Prices&amp;Logo'!$B$586</f>
        <v>czarny</v>
      </c>
      <c r="G41" s="75" t="str">
        <f t="shared" si="10"/>
        <v>344694 - Nakładany tip-on bez sprężyny/tłumienie - czarny</v>
      </c>
      <c r="H41" s="76" t="s">
        <v>1199</v>
      </c>
      <c r="I41" s="76">
        <v>344694</v>
      </c>
      <c r="J41" s="76" t="s">
        <v>1199</v>
      </c>
      <c r="K41" s="76" t="s">
        <v>2243</v>
      </c>
      <c r="L41" s="76" t="str">
        <f t="shared" si="2"/>
        <v>krzyżakowy, wkręt - N/A</v>
      </c>
      <c r="M41" s="76" t="s">
        <v>2243</v>
      </c>
      <c r="N41" s="76" t="str">
        <f t="shared" si="3"/>
        <v>na wkręt (z mimośrodem) - N/A</v>
      </c>
      <c r="O41" s="76">
        <v>344723</v>
      </c>
      <c r="P41" s="76" t="str">
        <f t="shared" si="4"/>
        <v>krzyżakowy eurowkręt - 344723</v>
      </c>
      <c r="Q41" s="76">
        <v>344727</v>
      </c>
      <c r="R41" s="76" t="str">
        <f t="shared" si="5"/>
        <v>krzyżakowy expando - 344727</v>
      </c>
      <c r="S41" s="76">
        <v>397949</v>
      </c>
      <c r="T41" s="76" t="str">
        <f t="shared" si="6"/>
        <v>prosty wkręt - 397949</v>
      </c>
      <c r="U41" s="76" t="s">
        <v>2243</v>
      </c>
      <c r="V41" s="76" t="str">
        <f t="shared" si="7"/>
        <v>prosty eurowkręt - N/A</v>
      </c>
      <c r="W41" s="76" t="s">
        <v>2243</v>
      </c>
      <c r="X41" s="76" t="str">
        <f t="shared" si="8"/>
        <v>prosty expando - N/A</v>
      </c>
      <c r="Y41" s="75"/>
      <c r="Z41" s="75"/>
    </row>
    <row r="42" spans="1:26" ht="15">
      <c r="A42" s="80" t="s">
        <v>1201</v>
      </c>
      <c r="B42" s="80" t="s">
        <v>578</v>
      </c>
      <c r="C42" s="80" t="str">
        <f>'Translate&amp;Prices&amp;Logo'!B554</f>
        <v>Półnakładany</v>
      </c>
      <c r="D42" s="73" t="str">
        <f t="shared" si="0"/>
        <v>široký_HETTICH_Polonaložený</v>
      </c>
      <c r="E42" s="80" t="str">
        <f>'Translate&amp;Prices&amp;Logo'!$B$582</f>
        <v>ze sprężyną z tłumieniem</v>
      </c>
      <c r="F42" s="75" t="str">
        <f>'Translate&amp;Prices&amp;Logo'!$B$585</f>
        <v>srebro</v>
      </c>
      <c r="G42" s="75" t="str">
        <f t="shared" si="10"/>
        <v>104718 - Półnakładany ze sprężyną z tłumieniem - srebro</v>
      </c>
      <c r="H42" s="76" t="s">
        <v>1199</v>
      </c>
      <c r="I42" s="76">
        <v>104718</v>
      </c>
      <c r="J42" s="76" t="s">
        <v>1199</v>
      </c>
      <c r="K42" s="76">
        <v>106403</v>
      </c>
      <c r="L42" s="76" t="str">
        <f t="shared" si="2"/>
        <v>krzyżakowy, wkręt - 106403</v>
      </c>
      <c r="M42" s="76" t="s">
        <v>2243</v>
      </c>
      <c r="N42" s="76" t="str">
        <f t="shared" si="3"/>
        <v>na wkręt (z mimośrodem) - N/A</v>
      </c>
      <c r="O42" s="76">
        <v>119240</v>
      </c>
      <c r="P42" s="76" t="str">
        <f t="shared" si="4"/>
        <v>krzyżakowy eurowkręt - 119240</v>
      </c>
      <c r="Q42" s="76">
        <v>136276</v>
      </c>
      <c r="R42" s="76" t="str">
        <f t="shared" si="5"/>
        <v>krzyżakowy expando - 136276</v>
      </c>
      <c r="S42" s="76">
        <v>300319</v>
      </c>
      <c r="T42" s="76" t="str">
        <f t="shared" si="6"/>
        <v>prosty wkręt - 300319</v>
      </c>
      <c r="U42" s="76" t="s">
        <v>2243</v>
      </c>
      <c r="V42" s="76" t="str">
        <f t="shared" si="7"/>
        <v>prosty eurowkręt - N/A</v>
      </c>
      <c r="W42" s="76" t="s">
        <v>2243</v>
      </c>
      <c r="X42" s="76" t="str">
        <f t="shared" si="8"/>
        <v>prosty expando - N/A</v>
      </c>
      <c r="Y42" s="75"/>
      <c r="Z42" s="75"/>
    </row>
    <row r="43" spans="1:26" ht="15">
      <c r="A43" s="80" t="s">
        <v>1201</v>
      </c>
      <c r="B43" s="80" t="s">
        <v>578</v>
      </c>
      <c r="C43" s="80" t="str">
        <f>'Translate&amp;Prices&amp;Logo'!B554</f>
        <v>Półnakładany</v>
      </c>
      <c r="D43" s="73" t="str">
        <f t="shared" si="0"/>
        <v>široký_HETTICH_Polonaložený</v>
      </c>
      <c r="E43" s="80" t="str">
        <f>'Translate&amp;Prices&amp;Logo'!$B$582</f>
        <v>ze sprężyną z tłumieniem</v>
      </c>
      <c r="F43" s="75" t="str">
        <f>'Translate&amp;Prices&amp;Logo'!$B$586</f>
        <v>czarny</v>
      </c>
      <c r="G43" s="75" t="str">
        <f t="shared" si="10"/>
        <v>344692 - Półnakładany ze sprężyną z tłumieniem - czarny</v>
      </c>
      <c r="H43" s="76" t="s">
        <v>1199</v>
      </c>
      <c r="I43" s="76">
        <v>344692</v>
      </c>
      <c r="J43" s="76" t="s">
        <v>1199</v>
      </c>
      <c r="K43" s="76" t="s">
        <v>2243</v>
      </c>
      <c r="L43" s="76" t="str">
        <f t="shared" si="2"/>
        <v>krzyżakowy, wkręt - N/A</v>
      </c>
      <c r="M43" s="76" t="s">
        <v>2243</v>
      </c>
      <c r="N43" s="76" t="str">
        <f t="shared" si="3"/>
        <v>na wkręt (z mimośrodem) - N/A</v>
      </c>
      <c r="O43" s="76">
        <v>344723</v>
      </c>
      <c r="P43" s="76" t="str">
        <f t="shared" si="4"/>
        <v>krzyżakowy eurowkręt - 344723</v>
      </c>
      <c r="Q43" s="76">
        <v>344727</v>
      </c>
      <c r="R43" s="76" t="str">
        <f t="shared" si="5"/>
        <v>krzyżakowy expando - 344727</v>
      </c>
      <c r="S43" s="76">
        <v>397949</v>
      </c>
      <c r="T43" s="76" t="str">
        <f t="shared" si="6"/>
        <v>prosty wkręt - 397949</v>
      </c>
      <c r="U43" s="76" t="s">
        <v>2243</v>
      </c>
      <c r="V43" s="76" t="str">
        <f t="shared" si="7"/>
        <v>prosty eurowkręt - N/A</v>
      </c>
      <c r="W43" s="76" t="s">
        <v>2243</v>
      </c>
      <c r="X43" s="76" t="str">
        <f t="shared" si="8"/>
        <v>prosty expando - N/A</v>
      </c>
      <c r="Y43" s="75"/>
      <c r="Z43" s="75"/>
    </row>
    <row r="44" spans="1:26" ht="15">
      <c r="A44" s="80" t="s">
        <v>1201</v>
      </c>
      <c r="B44" s="80" t="s">
        <v>578</v>
      </c>
      <c r="C44" s="80" t="str">
        <f>'Translate&amp;Prices&amp;Logo'!B554</f>
        <v>Półnakładany</v>
      </c>
      <c r="D44" s="73" t="str">
        <f t="shared" si="0"/>
        <v>široký_HETTICH_Polonaložený</v>
      </c>
      <c r="E44" s="80" t="str">
        <f>'Translate&amp;Prices&amp;Logo'!$B$583</f>
        <v>ze sprężyną bez tłumienia</v>
      </c>
      <c r="F44" s="75" t="str">
        <f>'Translate&amp;Prices&amp;Logo'!$B$585</f>
        <v>srebro</v>
      </c>
      <c r="G44" s="75" t="str">
        <f t="shared" si="10"/>
        <v>232347 - Półnakładany ze sprężyną bez tłumienia - srebro</v>
      </c>
      <c r="H44" s="76" t="s">
        <v>1199</v>
      </c>
      <c r="I44" s="76">
        <v>232347</v>
      </c>
      <c r="J44" s="76" t="s">
        <v>1199</v>
      </c>
      <c r="K44" s="76">
        <v>106403</v>
      </c>
      <c r="L44" s="76" t="str">
        <f t="shared" si="2"/>
        <v>krzyżakowy, wkręt - 106403</v>
      </c>
      <c r="M44" s="76" t="s">
        <v>2243</v>
      </c>
      <c r="N44" s="76" t="str">
        <f t="shared" si="3"/>
        <v>na wkręt (z mimośrodem) - N/A</v>
      </c>
      <c r="O44" s="76">
        <v>119240</v>
      </c>
      <c r="P44" s="76" t="str">
        <f t="shared" si="4"/>
        <v>krzyżakowy eurowkręt - 119240</v>
      </c>
      <c r="Q44" s="76">
        <v>136276</v>
      </c>
      <c r="R44" s="76" t="str">
        <f t="shared" si="5"/>
        <v>krzyżakowy expando - 136276</v>
      </c>
      <c r="S44" s="76">
        <v>300319</v>
      </c>
      <c r="T44" s="76" t="str">
        <f t="shared" si="6"/>
        <v>prosty wkręt - 300319</v>
      </c>
      <c r="U44" s="76" t="s">
        <v>2243</v>
      </c>
      <c r="V44" s="76" t="str">
        <f t="shared" si="7"/>
        <v>prosty eurowkręt - N/A</v>
      </c>
      <c r="W44" s="76" t="s">
        <v>2243</v>
      </c>
      <c r="X44" s="76" t="str">
        <f t="shared" si="8"/>
        <v>prosty expando - N/A</v>
      </c>
      <c r="Y44" s="75"/>
      <c r="Z44" s="75"/>
    </row>
    <row r="45" spans="1:26" ht="15">
      <c r="A45" s="80" t="s">
        <v>1201</v>
      </c>
      <c r="B45" s="80" t="s">
        <v>578</v>
      </c>
      <c r="C45" s="80" t="str">
        <f>'Translate&amp;Prices&amp;Logo'!B554</f>
        <v>Półnakładany</v>
      </c>
      <c r="D45" s="73" t="str">
        <f t="shared" si="0"/>
        <v>široký_HETTICH_Polonaložený</v>
      </c>
      <c r="E45" s="80" t="str">
        <f>'Translate&amp;Prices&amp;Logo'!$B$584</f>
        <v>tip-on bez sprężyny/tłumienie</v>
      </c>
      <c r="F45" s="75" t="str">
        <f>'Translate&amp;Prices&amp;Logo'!$B$585</f>
        <v>srebro</v>
      </c>
      <c r="G45" s="75" t="str">
        <f t="shared" si="10"/>
        <v>245724 - Półnakładany tip-on bez sprężyny/tłumienie - srebro</v>
      </c>
      <c r="H45" s="76" t="s">
        <v>1199</v>
      </c>
      <c r="I45" s="76">
        <v>245724</v>
      </c>
      <c r="J45" s="76" t="s">
        <v>1199</v>
      </c>
      <c r="K45" s="76">
        <v>106403</v>
      </c>
      <c r="L45" s="76" t="str">
        <f t="shared" si="2"/>
        <v>krzyżakowy, wkręt - 106403</v>
      </c>
      <c r="M45" s="76" t="s">
        <v>2243</v>
      </c>
      <c r="N45" s="76" t="str">
        <f t="shared" si="3"/>
        <v>na wkręt (z mimośrodem) - N/A</v>
      </c>
      <c r="O45" s="76">
        <v>119240</v>
      </c>
      <c r="P45" s="76" t="str">
        <f t="shared" si="4"/>
        <v>krzyżakowy eurowkręt - 119240</v>
      </c>
      <c r="Q45" s="76">
        <v>136276</v>
      </c>
      <c r="R45" s="76" t="str">
        <f t="shared" si="5"/>
        <v>krzyżakowy expando - 136276</v>
      </c>
      <c r="S45" s="76">
        <v>300319</v>
      </c>
      <c r="T45" s="76" t="str">
        <f t="shared" si="6"/>
        <v>prosty wkręt - 300319</v>
      </c>
      <c r="U45" s="76" t="s">
        <v>2243</v>
      </c>
      <c r="V45" s="76" t="str">
        <f t="shared" si="7"/>
        <v>prosty eurowkręt - N/A</v>
      </c>
      <c r="W45" s="76" t="s">
        <v>2243</v>
      </c>
      <c r="X45" s="76" t="str">
        <f t="shared" si="8"/>
        <v>prosty expando - N/A</v>
      </c>
      <c r="Y45" s="75"/>
      <c r="Z45" s="75"/>
    </row>
    <row r="46" spans="1:26" ht="15">
      <c r="A46" s="80" t="s">
        <v>1201</v>
      </c>
      <c r="B46" s="80" t="s">
        <v>578</v>
      </c>
      <c r="C46" s="80" t="str">
        <f>'Translate&amp;Prices&amp;Logo'!B554</f>
        <v>Półnakładany</v>
      </c>
      <c r="D46" s="73" t="str">
        <f t="shared" si="0"/>
        <v>široký_HETTICH_Polonaložený</v>
      </c>
      <c r="E46" s="80" t="str">
        <f>'Translate&amp;Prices&amp;Logo'!$B$584</f>
        <v>tip-on bez sprężyny/tłumienie</v>
      </c>
      <c r="F46" s="75" t="str">
        <f>'Translate&amp;Prices&amp;Logo'!$B$586</f>
        <v>czarny</v>
      </c>
      <c r="G46" s="75" t="str">
        <f t="shared" si="10"/>
        <v>344695 - Półnakładany tip-on bez sprężyny/tłumienie - czarny</v>
      </c>
      <c r="H46" s="76" t="s">
        <v>1199</v>
      </c>
      <c r="I46" s="76">
        <v>344695</v>
      </c>
      <c r="J46" s="76" t="s">
        <v>1199</v>
      </c>
      <c r="K46" s="76" t="s">
        <v>2243</v>
      </c>
      <c r="L46" s="76" t="str">
        <f t="shared" si="2"/>
        <v>krzyżakowy, wkręt - N/A</v>
      </c>
      <c r="M46" s="76" t="s">
        <v>2243</v>
      </c>
      <c r="N46" s="76" t="str">
        <f t="shared" si="3"/>
        <v>na wkręt (z mimośrodem) - N/A</v>
      </c>
      <c r="O46" s="76">
        <v>344723</v>
      </c>
      <c r="P46" s="76" t="str">
        <f t="shared" si="4"/>
        <v>krzyżakowy eurowkręt - 344723</v>
      </c>
      <c r="Q46" s="76">
        <v>344727</v>
      </c>
      <c r="R46" s="76" t="str">
        <f t="shared" si="5"/>
        <v>krzyżakowy expando - 344727</v>
      </c>
      <c r="S46" s="76">
        <v>397949</v>
      </c>
      <c r="T46" s="76" t="str">
        <f t="shared" si="6"/>
        <v>prosty wkręt - 397949</v>
      </c>
      <c r="U46" s="76" t="s">
        <v>2243</v>
      </c>
      <c r="V46" s="76" t="str">
        <f t="shared" si="7"/>
        <v>prosty eurowkręt - N/A</v>
      </c>
      <c r="W46" s="76" t="s">
        <v>2243</v>
      </c>
      <c r="X46" s="76" t="str">
        <f t="shared" si="8"/>
        <v>prosty expando - N/A</v>
      </c>
      <c r="Y46" s="75"/>
      <c r="Z46" s="75"/>
    </row>
    <row r="47" spans="1:26" ht="15">
      <c r="A47" s="75" t="s">
        <v>1201</v>
      </c>
      <c r="B47" s="75" t="s">
        <v>578</v>
      </c>
      <c r="C47" s="75" t="str">
        <f>'Translate&amp;Prices&amp;Logo'!B555</f>
        <v>Wpuszczany</v>
      </c>
      <c r="D47" s="73" t="str">
        <f t="shared" si="0"/>
        <v>široký_HETTICH_Vložený</v>
      </c>
      <c r="E47" s="75" t="str">
        <f>'Translate&amp;Prices&amp;Logo'!$B$582</f>
        <v>ze sprężyną z tłumieniem</v>
      </c>
      <c r="F47" s="75" t="str">
        <f>'Translate&amp;Prices&amp;Logo'!$B$585</f>
        <v>srebro</v>
      </c>
      <c r="G47" s="75" t="str">
        <f t="shared" si="10"/>
        <v>104719 - Wpuszczany ze sprężyną z tłumieniem - srebro</v>
      </c>
      <c r="H47" s="76" t="s">
        <v>1199</v>
      </c>
      <c r="I47" s="76">
        <v>104719</v>
      </c>
      <c r="J47" s="76" t="s">
        <v>1199</v>
      </c>
      <c r="K47" s="76">
        <v>106403</v>
      </c>
      <c r="L47" s="76" t="str">
        <f t="shared" si="2"/>
        <v>krzyżakowy, wkręt - 106403</v>
      </c>
      <c r="M47" s="76" t="s">
        <v>2243</v>
      </c>
      <c r="N47" s="76" t="str">
        <f t="shared" si="3"/>
        <v>na wkręt (z mimośrodem) - N/A</v>
      </c>
      <c r="O47" s="76">
        <v>119240</v>
      </c>
      <c r="P47" s="76" t="str">
        <f t="shared" si="4"/>
        <v>krzyżakowy eurowkręt - 119240</v>
      </c>
      <c r="Q47" s="76">
        <v>136276</v>
      </c>
      <c r="R47" s="76" t="str">
        <f t="shared" si="5"/>
        <v>krzyżakowy expando - 136276</v>
      </c>
      <c r="S47" s="76">
        <v>300319</v>
      </c>
      <c r="T47" s="76" t="str">
        <f t="shared" si="6"/>
        <v>prosty wkręt - 300319</v>
      </c>
      <c r="U47" s="76" t="s">
        <v>2243</v>
      </c>
      <c r="V47" s="76" t="str">
        <f t="shared" si="7"/>
        <v>prosty eurowkręt - N/A</v>
      </c>
      <c r="W47" s="76" t="s">
        <v>2243</v>
      </c>
      <c r="X47" s="76" t="str">
        <f t="shared" si="8"/>
        <v>prosty expando - N/A</v>
      </c>
      <c r="Y47" s="75"/>
      <c r="Z47" s="75"/>
    </row>
    <row r="48" spans="1:26" ht="15">
      <c r="A48" s="75" t="s">
        <v>1201</v>
      </c>
      <c r="B48" s="75" t="s">
        <v>578</v>
      </c>
      <c r="C48" s="75" t="str">
        <f>'Translate&amp;Prices&amp;Logo'!B555</f>
        <v>Wpuszczany</v>
      </c>
      <c r="D48" s="73" t="str">
        <f t="shared" si="0"/>
        <v>široký_HETTICH_Vložený</v>
      </c>
      <c r="E48" s="75" t="str">
        <f>'Translate&amp;Prices&amp;Logo'!$B$582</f>
        <v>ze sprężyną z tłumieniem</v>
      </c>
      <c r="F48" s="75" t="str">
        <f>'Translate&amp;Prices&amp;Logo'!$B$586</f>
        <v>czarny</v>
      </c>
      <c r="G48" s="75" t="str">
        <f t="shared" si="10"/>
        <v>344693 - Wpuszczany ze sprężyną z tłumieniem - czarny</v>
      </c>
      <c r="H48" s="76" t="s">
        <v>1199</v>
      </c>
      <c r="I48" s="76">
        <v>344693</v>
      </c>
      <c r="J48" s="76" t="s">
        <v>1199</v>
      </c>
      <c r="K48" s="76" t="s">
        <v>2243</v>
      </c>
      <c r="L48" s="76" t="str">
        <f t="shared" si="2"/>
        <v>krzyżakowy, wkręt - N/A</v>
      </c>
      <c r="M48" s="76" t="s">
        <v>2243</v>
      </c>
      <c r="N48" s="76" t="str">
        <f t="shared" si="3"/>
        <v>na wkręt (z mimośrodem) - N/A</v>
      </c>
      <c r="O48" s="76">
        <v>344723</v>
      </c>
      <c r="P48" s="76" t="str">
        <f t="shared" si="4"/>
        <v>krzyżakowy eurowkręt - 344723</v>
      </c>
      <c r="Q48" s="76">
        <v>344727</v>
      </c>
      <c r="R48" s="76" t="str">
        <f t="shared" si="5"/>
        <v>krzyżakowy expando - 344727</v>
      </c>
      <c r="S48" s="76">
        <v>397949</v>
      </c>
      <c r="T48" s="76" t="str">
        <f t="shared" si="6"/>
        <v>prosty wkręt - 397949</v>
      </c>
      <c r="U48" s="76" t="s">
        <v>2243</v>
      </c>
      <c r="V48" s="76" t="str">
        <f t="shared" si="7"/>
        <v>prosty eurowkręt - N/A</v>
      </c>
      <c r="W48" s="76" t="s">
        <v>2243</v>
      </c>
      <c r="X48" s="76" t="str">
        <f t="shared" si="8"/>
        <v>prosty expando - N/A</v>
      </c>
      <c r="Y48" s="75"/>
      <c r="Z48" s="75"/>
    </row>
    <row r="49" spans="1:26" ht="15">
      <c r="A49" s="75" t="s">
        <v>1201</v>
      </c>
      <c r="B49" s="75" t="s">
        <v>578</v>
      </c>
      <c r="C49" s="75" t="str">
        <f>'Translate&amp;Prices&amp;Logo'!B555</f>
        <v>Wpuszczany</v>
      </c>
      <c r="D49" s="73" t="str">
        <f t="shared" si="0"/>
        <v>široký_HETTICH_Vložený</v>
      </c>
      <c r="E49" s="75" t="str">
        <f>'Translate&amp;Prices&amp;Logo'!$B$583</f>
        <v>ze sprężyną bez tłumienia</v>
      </c>
      <c r="F49" s="75" t="str">
        <f>'Translate&amp;Prices&amp;Logo'!$B$585</f>
        <v>srebro</v>
      </c>
      <c r="G49" s="75" t="str">
        <f t="shared" si="10"/>
        <v>232348 - Wpuszczany ze sprężyną bez tłumienia - srebro</v>
      </c>
      <c r="H49" s="76" t="s">
        <v>1199</v>
      </c>
      <c r="I49" s="76">
        <v>232348</v>
      </c>
      <c r="J49" s="76" t="s">
        <v>1199</v>
      </c>
      <c r="K49" s="76">
        <v>106403</v>
      </c>
      <c r="L49" s="76" t="str">
        <f t="shared" si="2"/>
        <v>krzyżakowy, wkręt - 106403</v>
      </c>
      <c r="M49" s="76" t="s">
        <v>2243</v>
      </c>
      <c r="N49" s="76" t="str">
        <f t="shared" si="3"/>
        <v>na wkręt (z mimośrodem) - N/A</v>
      </c>
      <c r="O49" s="76">
        <v>119240</v>
      </c>
      <c r="P49" s="76" t="str">
        <f t="shared" si="4"/>
        <v>krzyżakowy eurowkręt - 119240</v>
      </c>
      <c r="Q49" s="76">
        <v>136276</v>
      </c>
      <c r="R49" s="76" t="str">
        <f t="shared" si="5"/>
        <v>krzyżakowy expando - 136276</v>
      </c>
      <c r="S49" s="76">
        <v>300319</v>
      </c>
      <c r="T49" s="76" t="str">
        <f t="shared" si="6"/>
        <v>prosty wkręt - 300319</v>
      </c>
      <c r="U49" s="76" t="s">
        <v>2243</v>
      </c>
      <c r="V49" s="76" t="str">
        <f t="shared" si="7"/>
        <v>prosty eurowkręt - N/A</v>
      </c>
      <c r="W49" s="76" t="s">
        <v>2243</v>
      </c>
      <c r="X49" s="76" t="str">
        <f t="shared" si="8"/>
        <v>prosty expando - N/A</v>
      </c>
      <c r="Y49" s="75"/>
      <c r="Z49" s="75"/>
    </row>
    <row r="50" spans="1:26" ht="15">
      <c r="A50" s="75" t="s">
        <v>1201</v>
      </c>
      <c r="B50" s="75" t="s">
        <v>578</v>
      </c>
      <c r="C50" s="75" t="str">
        <f>'Translate&amp;Prices&amp;Logo'!B555</f>
        <v>Wpuszczany</v>
      </c>
      <c r="D50" s="73" t="str">
        <f t="shared" si="0"/>
        <v>široký_HETTICH_Vložený</v>
      </c>
      <c r="E50" s="75" t="str">
        <f>'Translate&amp;Prices&amp;Logo'!$B$584</f>
        <v>tip-on bez sprężyny/tłumienie</v>
      </c>
      <c r="F50" s="75" t="str">
        <f>'Translate&amp;Prices&amp;Logo'!$B$585</f>
        <v>srebro</v>
      </c>
      <c r="G50" s="75" t="str">
        <f t="shared" si="10"/>
        <v>245725 - Wpuszczany tip-on bez sprężyny/tłumienie - srebro</v>
      </c>
      <c r="H50" s="76" t="s">
        <v>1199</v>
      </c>
      <c r="I50" s="76">
        <v>245725</v>
      </c>
      <c r="J50" s="76" t="s">
        <v>1199</v>
      </c>
      <c r="K50" s="76">
        <v>106403</v>
      </c>
      <c r="L50" s="76" t="str">
        <f t="shared" si="2"/>
        <v>krzyżakowy, wkręt - 106403</v>
      </c>
      <c r="M50" s="76" t="s">
        <v>2243</v>
      </c>
      <c r="N50" s="76" t="str">
        <f t="shared" si="3"/>
        <v>na wkręt (z mimośrodem) - N/A</v>
      </c>
      <c r="O50" s="76">
        <v>119240</v>
      </c>
      <c r="P50" s="76" t="str">
        <f t="shared" si="4"/>
        <v>krzyżakowy eurowkręt - 119240</v>
      </c>
      <c r="Q50" s="76">
        <v>136276</v>
      </c>
      <c r="R50" s="76" t="str">
        <f t="shared" si="5"/>
        <v>krzyżakowy expando - 136276</v>
      </c>
      <c r="S50" s="76">
        <v>300319</v>
      </c>
      <c r="T50" s="76" t="str">
        <f t="shared" si="6"/>
        <v>prosty wkręt - 300319</v>
      </c>
      <c r="U50" s="76" t="s">
        <v>2243</v>
      </c>
      <c r="V50" s="76" t="str">
        <f t="shared" si="7"/>
        <v>prosty eurowkręt - N/A</v>
      </c>
      <c r="W50" s="76" t="s">
        <v>2243</v>
      </c>
      <c r="X50" s="76" t="str">
        <f t="shared" si="8"/>
        <v>prosty expando - N/A</v>
      </c>
      <c r="Y50" s="75"/>
      <c r="Z50" s="75"/>
    </row>
    <row r="51" spans="1:26" ht="15">
      <c r="A51" s="75" t="s">
        <v>1201</v>
      </c>
      <c r="B51" s="75" t="s">
        <v>578</v>
      </c>
      <c r="C51" s="75" t="str">
        <f>'Translate&amp;Prices&amp;Logo'!B555</f>
        <v>Wpuszczany</v>
      </c>
      <c r="D51" s="73" t="str">
        <f t="shared" si="0"/>
        <v>široký_HETTICH_Vložený</v>
      </c>
      <c r="E51" s="75" t="str">
        <f>'Translate&amp;Prices&amp;Logo'!$B$584</f>
        <v>tip-on bez sprężyny/tłumienie</v>
      </c>
      <c r="F51" s="75" t="str">
        <f>'Translate&amp;Prices&amp;Logo'!$B$586</f>
        <v>czarny</v>
      </c>
      <c r="G51" s="75" t="str">
        <f t="shared" si="10"/>
        <v>344696 - Wpuszczany tip-on bez sprężyny/tłumienie - czarny</v>
      </c>
      <c r="H51" s="76" t="s">
        <v>1199</v>
      </c>
      <c r="I51" s="76">
        <v>344696</v>
      </c>
      <c r="J51" s="76" t="s">
        <v>1199</v>
      </c>
      <c r="K51" s="76" t="s">
        <v>2243</v>
      </c>
      <c r="L51" s="76" t="str">
        <f t="shared" si="2"/>
        <v>krzyżakowy, wkręt - N/A</v>
      </c>
      <c r="M51" s="76" t="s">
        <v>2243</v>
      </c>
      <c r="N51" s="76" t="str">
        <f t="shared" si="3"/>
        <v>na wkręt (z mimośrodem) - N/A</v>
      </c>
      <c r="O51" s="76">
        <v>344723</v>
      </c>
      <c r="P51" s="76" t="str">
        <f t="shared" si="4"/>
        <v>krzyżakowy eurowkręt - 344723</v>
      </c>
      <c r="Q51" s="76">
        <v>344727</v>
      </c>
      <c r="R51" s="76" t="str">
        <f t="shared" si="5"/>
        <v>krzyżakowy expando - 344727</v>
      </c>
      <c r="S51" s="76">
        <v>397949</v>
      </c>
      <c r="T51" s="76" t="str">
        <f t="shared" si="6"/>
        <v>prosty wkręt - 397949</v>
      </c>
      <c r="U51" s="76" t="s">
        <v>2243</v>
      </c>
      <c r="V51" s="76" t="str">
        <f t="shared" si="7"/>
        <v>prosty eurowkręt - N/A</v>
      </c>
      <c r="W51" s="76" t="s">
        <v>2243</v>
      </c>
      <c r="X51" s="76" t="str">
        <f t="shared" si="8"/>
        <v>prosty expando - N/A</v>
      </c>
      <c r="Y51" s="75"/>
      <c r="Z51" s="75"/>
    </row>
    <row r="52" spans="1:26" ht="15">
      <c r="A52" s="80" t="s">
        <v>1201</v>
      </c>
      <c r="B52" s="80" t="s">
        <v>57</v>
      </c>
      <c r="C52" s="80" t="str">
        <f>'Translate&amp;Prices&amp;Logo'!B553</f>
        <v>Nakładany</v>
      </c>
      <c r="D52" s="73" t="str">
        <f t="shared" si="0"/>
        <v>široký_STRONG_Naložený</v>
      </c>
      <c r="E52" s="80" t="str">
        <f>'Translate&amp;Prices&amp;Logo'!$B$582</f>
        <v>ze sprężyną z tłumieniem</v>
      </c>
      <c r="F52" s="75" t="str">
        <f>'Translate&amp;Prices&amp;Logo'!$B$585</f>
        <v>srebro</v>
      </c>
      <c r="G52" s="75" t="str">
        <f t="shared" si="10"/>
        <v>92580T - Nakładany ze sprężyną z tłumieniem - srebro</v>
      </c>
      <c r="H52" s="76" t="s">
        <v>1199</v>
      </c>
      <c r="I52" s="76" t="s">
        <v>59</v>
      </c>
      <c r="J52" s="76" t="s">
        <v>1199</v>
      </c>
      <c r="K52" s="76" t="s">
        <v>58</v>
      </c>
      <c r="L52" s="76" t="str">
        <f>CONCATENATE($K$1," - ",K52)</f>
        <v>krzyżakowy, wkręt - 92590T</v>
      </c>
      <c r="M52" s="76" t="s">
        <v>62</v>
      </c>
      <c r="N52" s="76" t="str">
        <f t="shared" si="3"/>
        <v>na wkręt (z mimośrodem) - 92594T</v>
      </c>
      <c r="O52" s="76" t="s">
        <v>64</v>
      </c>
      <c r="P52" s="76" t="str">
        <f t="shared" si="4"/>
        <v>krzyżakowy eurowkręt - 92591T</v>
      </c>
      <c r="Q52" s="76" t="s">
        <v>2243</v>
      </c>
      <c r="R52" s="76" t="str">
        <f t="shared" si="5"/>
        <v>krzyżakowy expando - N/A</v>
      </c>
      <c r="S52" s="76" t="s">
        <v>2243</v>
      </c>
      <c r="T52" s="76" t="str">
        <f t="shared" si="6"/>
        <v>prosty wkręt - N/A</v>
      </c>
      <c r="U52" s="76" t="s">
        <v>2243</v>
      </c>
      <c r="V52" s="76" t="str">
        <f t="shared" si="7"/>
        <v>prosty eurowkręt - N/A</v>
      </c>
      <c r="W52" s="76" t="s">
        <v>2243</v>
      </c>
      <c r="X52" s="76" t="str">
        <f t="shared" si="8"/>
        <v>prosty expando - N/A</v>
      </c>
      <c r="Y52" s="75"/>
      <c r="Z52" s="75"/>
    </row>
    <row r="53" spans="1:26" ht="15">
      <c r="A53" s="80" t="s">
        <v>1201</v>
      </c>
      <c r="B53" s="80" t="s">
        <v>57</v>
      </c>
      <c r="C53" s="80" t="str">
        <f>'Translate&amp;Prices&amp;Logo'!B553</f>
        <v>Nakładany</v>
      </c>
      <c r="D53" s="73" t="str">
        <f t="shared" si="0"/>
        <v>široký_STRONG_Naložený</v>
      </c>
      <c r="E53" s="80" t="str">
        <f>'Translate&amp;Prices&amp;Logo'!$B$583</f>
        <v>ze sprężyną bez tłumienia</v>
      </c>
      <c r="F53" s="75" t="str">
        <f>'Translate&amp;Prices&amp;Logo'!$B$585</f>
        <v>srebro</v>
      </c>
      <c r="G53" s="75" t="str">
        <f t="shared" si="10"/>
        <v>198818 - Nakładany ze sprężyną bez tłumienia - srebro</v>
      </c>
      <c r="H53" s="76" t="s">
        <v>1199</v>
      </c>
      <c r="I53" s="76">
        <v>198818</v>
      </c>
      <c r="J53" s="76" t="s">
        <v>1199</v>
      </c>
      <c r="K53" s="76" t="s">
        <v>58</v>
      </c>
      <c r="L53" s="76" t="str">
        <f>CONCATENATE($K$1," - ",K53)</f>
        <v>krzyżakowy, wkręt - 92590T</v>
      </c>
      <c r="M53" s="76" t="s">
        <v>62</v>
      </c>
      <c r="N53" s="76" t="str">
        <f t="shared" si="3"/>
        <v>na wkręt (z mimośrodem) - 92594T</v>
      </c>
      <c r="O53" s="76" t="s">
        <v>64</v>
      </c>
      <c r="P53" s="76" t="str">
        <f t="shared" si="4"/>
        <v>krzyżakowy eurowkręt - 92591T</v>
      </c>
      <c r="Q53" s="76" t="s">
        <v>2243</v>
      </c>
      <c r="R53" s="76" t="str">
        <f t="shared" si="5"/>
        <v>krzyżakowy expando - N/A</v>
      </c>
      <c r="S53" s="76" t="s">
        <v>2243</v>
      </c>
      <c r="T53" s="76" t="str">
        <f t="shared" si="6"/>
        <v>prosty wkręt - N/A</v>
      </c>
      <c r="U53" s="76" t="s">
        <v>2243</v>
      </c>
      <c r="V53" s="76" t="str">
        <f t="shared" si="7"/>
        <v>prosty eurowkręt - N/A</v>
      </c>
      <c r="W53" s="76" t="s">
        <v>2243</v>
      </c>
      <c r="X53" s="76" t="str">
        <f t="shared" si="8"/>
        <v>prosty expando - N/A</v>
      </c>
      <c r="Y53" s="75"/>
      <c r="Z53" s="75"/>
    </row>
    <row r="54" spans="1:26" ht="15">
      <c r="A54" s="75" t="s">
        <v>1201</v>
      </c>
      <c r="B54" s="75" t="s">
        <v>57</v>
      </c>
      <c r="C54" s="75" t="str">
        <f>'Translate&amp;Prices&amp;Logo'!B554</f>
        <v>Półnakładany</v>
      </c>
      <c r="D54" s="73" t="str">
        <f t="shared" si="0"/>
        <v>široký_STRONG_Polonaložený</v>
      </c>
      <c r="E54" s="75" t="str">
        <f>'Translate&amp;Prices&amp;Logo'!$B$582</f>
        <v>ze sprężyną z tłumieniem</v>
      </c>
      <c r="F54" s="75" t="str">
        <f>'Translate&amp;Prices&amp;Logo'!$B$585</f>
        <v>srebro</v>
      </c>
      <c r="G54" s="75" t="str">
        <f t="shared" si="10"/>
        <v>92581T - Półnakładany ze sprężyną z tłumieniem - srebro</v>
      </c>
      <c r="H54" s="76" t="s">
        <v>1199</v>
      </c>
      <c r="I54" s="76" t="s">
        <v>60</v>
      </c>
      <c r="J54" s="76" t="s">
        <v>1199</v>
      </c>
      <c r="K54" s="76" t="s">
        <v>58</v>
      </c>
      <c r="L54" s="76" t="str">
        <f>CONCATENATE($K$1," - ",K54)</f>
        <v>krzyżakowy, wkręt - 92590T</v>
      </c>
      <c r="M54" s="76" t="s">
        <v>62</v>
      </c>
      <c r="N54" s="76" t="str">
        <f t="shared" si="3"/>
        <v>na wkręt (z mimośrodem) - 92594T</v>
      </c>
      <c r="O54" s="76" t="s">
        <v>64</v>
      </c>
      <c r="P54" s="76" t="str">
        <f t="shared" si="4"/>
        <v>krzyżakowy eurowkręt - 92591T</v>
      </c>
      <c r="Q54" s="76" t="s">
        <v>2243</v>
      </c>
      <c r="R54" s="76" t="str">
        <f t="shared" si="5"/>
        <v>krzyżakowy expando - N/A</v>
      </c>
      <c r="S54" s="76" t="s">
        <v>2243</v>
      </c>
      <c r="T54" s="76" t="str">
        <f t="shared" si="6"/>
        <v>prosty wkręt - N/A</v>
      </c>
      <c r="U54" s="76" t="s">
        <v>2243</v>
      </c>
      <c r="V54" s="76" t="str">
        <f t="shared" si="7"/>
        <v>prosty eurowkręt - N/A</v>
      </c>
      <c r="W54" s="76" t="s">
        <v>2243</v>
      </c>
      <c r="X54" s="76" t="str">
        <f t="shared" si="8"/>
        <v>prosty expando - N/A</v>
      </c>
      <c r="Y54" s="75"/>
      <c r="Z54" s="75"/>
    </row>
    <row r="55" spans="1:26" ht="15">
      <c r="A55" s="75" t="s">
        <v>1201</v>
      </c>
      <c r="B55" s="75" t="s">
        <v>57</v>
      </c>
      <c r="C55" s="75" t="str">
        <f>'Translate&amp;Prices&amp;Logo'!B554</f>
        <v>Półnakładany</v>
      </c>
      <c r="D55" s="73" t="str">
        <f t="shared" si="0"/>
        <v>široký_STRONG_Polonaložený</v>
      </c>
      <c r="E55" s="75" t="str">
        <f>'Translate&amp;Prices&amp;Logo'!$B$583</f>
        <v>ze sprężyną bez tłumienia</v>
      </c>
      <c r="F55" s="75" t="str">
        <f>'Translate&amp;Prices&amp;Logo'!$B$585</f>
        <v>srebro</v>
      </c>
      <c r="G55" s="75" t="str">
        <f t="shared" si="10"/>
        <v>198819 - Półnakładany ze sprężyną bez tłumienia - srebro</v>
      </c>
      <c r="H55" s="76" t="s">
        <v>1199</v>
      </c>
      <c r="I55" s="76">
        <v>198819</v>
      </c>
      <c r="J55" s="76" t="s">
        <v>1199</v>
      </c>
      <c r="K55" s="76" t="s">
        <v>58</v>
      </c>
      <c r="L55" s="76" t="str">
        <f>CONCATENATE($K$1," - ",K55)</f>
        <v>krzyżakowy, wkręt - 92590T</v>
      </c>
      <c r="M55" s="76" t="s">
        <v>62</v>
      </c>
      <c r="N55" s="76" t="str">
        <f t="shared" si="3"/>
        <v>na wkręt (z mimośrodem) - 92594T</v>
      </c>
      <c r="O55" s="76" t="s">
        <v>64</v>
      </c>
      <c r="P55" s="76" t="str">
        <f t="shared" si="4"/>
        <v>krzyżakowy eurowkręt - 92591T</v>
      </c>
      <c r="Q55" s="76" t="s">
        <v>2243</v>
      </c>
      <c r="R55" s="76" t="str">
        <f t="shared" si="5"/>
        <v>krzyżakowy expando - N/A</v>
      </c>
      <c r="S55" s="76" t="s">
        <v>2243</v>
      </c>
      <c r="T55" s="76" t="str">
        <f t="shared" si="6"/>
        <v>prosty wkręt - N/A</v>
      </c>
      <c r="U55" s="76" t="s">
        <v>2243</v>
      </c>
      <c r="V55" s="76" t="str">
        <f t="shared" si="7"/>
        <v>prosty eurowkręt - N/A</v>
      </c>
      <c r="W55" s="76" t="s">
        <v>2243</v>
      </c>
      <c r="X55" s="76" t="str">
        <f t="shared" si="8"/>
        <v>prosty expando - N/A</v>
      </c>
      <c r="Y55" s="75"/>
      <c r="Z55" s="75"/>
    </row>
    <row r="56" spans="1:26" ht="15">
      <c r="A56" s="80" t="s">
        <v>1201</v>
      </c>
      <c r="B56" s="80" t="s">
        <v>57</v>
      </c>
      <c r="C56" s="80" t="str">
        <f>'Translate&amp;Prices&amp;Logo'!B555</f>
        <v>Wpuszczany</v>
      </c>
      <c r="D56" s="73" t="str">
        <f t="shared" si="0"/>
        <v>široký_STRONG_Vložený</v>
      </c>
      <c r="E56" s="80" t="str">
        <f>'Translate&amp;Prices&amp;Logo'!$B$582</f>
        <v>ze sprężyną z tłumieniem</v>
      </c>
      <c r="F56" s="75" t="str">
        <f>'Translate&amp;Prices&amp;Logo'!$B$585</f>
        <v>srebro</v>
      </c>
      <c r="G56" s="75" t="str">
        <f t="shared" si="10"/>
        <v>92582T - Wpuszczany ze sprężyną z tłumieniem - srebro</v>
      </c>
      <c r="H56" s="76" t="s">
        <v>1199</v>
      </c>
      <c r="I56" s="76" t="s">
        <v>61</v>
      </c>
      <c r="J56" s="76" t="s">
        <v>1199</v>
      </c>
      <c r="K56" s="76" t="s">
        <v>79</v>
      </c>
      <c r="L56" s="76" t="str">
        <f t="shared" si="2"/>
        <v>krzyżakowy, wkręt - 92592T</v>
      </c>
      <c r="M56" s="76">
        <v>397954</v>
      </c>
      <c r="N56" s="76" t="str">
        <f t="shared" si="3"/>
        <v>na wkręt (z mimośrodem) - 397954</v>
      </c>
      <c r="O56" s="76" t="s">
        <v>78</v>
      </c>
      <c r="P56" s="76" t="str">
        <f t="shared" si="4"/>
        <v>krzyżakowy eurowkręt - 92593T</v>
      </c>
      <c r="Q56" s="76" t="s">
        <v>2243</v>
      </c>
      <c r="R56" s="76" t="str">
        <f t="shared" si="5"/>
        <v>krzyżakowy expando - N/A</v>
      </c>
      <c r="S56" s="76" t="s">
        <v>2243</v>
      </c>
      <c r="T56" s="76" t="str">
        <f t="shared" si="6"/>
        <v>prosty wkręt - N/A</v>
      </c>
      <c r="U56" s="76" t="s">
        <v>2243</v>
      </c>
      <c r="V56" s="76" t="str">
        <f t="shared" si="7"/>
        <v>prosty eurowkręt - N/A</v>
      </c>
      <c r="W56" s="76" t="s">
        <v>2243</v>
      </c>
      <c r="X56" s="76" t="str">
        <f t="shared" si="8"/>
        <v>prosty expando - N/A</v>
      </c>
      <c r="Y56" s="75"/>
      <c r="Z56" s="75"/>
    </row>
    <row r="57" spans="1:26" ht="15">
      <c r="A57" s="80" t="s">
        <v>1201</v>
      </c>
      <c r="B57" s="80" t="s">
        <v>57</v>
      </c>
      <c r="C57" s="80" t="str">
        <f>'Translate&amp;Prices&amp;Logo'!B555</f>
        <v>Wpuszczany</v>
      </c>
      <c r="D57" s="73" t="str">
        <f t="shared" si="0"/>
        <v>široký_STRONG_Vložený</v>
      </c>
      <c r="E57" s="80" t="str">
        <f>'Translate&amp;Prices&amp;Logo'!$B$583</f>
        <v>ze sprężyną bez tłumienia</v>
      </c>
      <c r="F57" s="75" t="str">
        <f>'Translate&amp;Prices&amp;Logo'!$B$585</f>
        <v>srebro</v>
      </c>
      <c r="G57" s="75" t="str">
        <f t="shared" si="10"/>
        <v>198820 - Wpuszczany ze sprężyną bez tłumienia - srebro</v>
      </c>
      <c r="H57" s="76" t="s">
        <v>1199</v>
      </c>
      <c r="I57" s="76">
        <v>198820</v>
      </c>
      <c r="J57" s="76" t="s">
        <v>1199</v>
      </c>
      <c r="K57" s="76" t="s">
        <v>79</v>
      </c>
      <c r="L57" s="76" t="str">
        <f t="shared" si="2"/>
        <v>krzyżakowy, wkręt - 92592T</v>
      </c>
      <c r="M57" s="76">
        <v>397954</v>
      </c>
      <c r="N57" s="76" t="str">
        <f t="shared" si="3"/>
        <v>na wkręt (z mimośrodem) - 397954</v>
      </c>
      <c r="O57" s="76" t="s">
        <v>78</v>
      </c>
      <c r="P57" s="76" t="str">
        <f t="shared" si="4"/>
        <v>krzyżakowy eurowkręt - 92593T</v>
      </c>
      <c r="Q57" s="76" t="s">
        <v>2243</v>
      </c>
      <c r="R57" s="76" t="str">
        <f t="shared" si="5"/>
        <v>krzyżakowy expando - N/A</v>
      </c>
      <c r="S57" s="76" t="s">
        <v>2243</v>
      </c>
      <c r="T57" s="76" t="str">
        <f t="shared" si="6"/>
        <v>prosty wkręt - N/A</v>
      </c>
      <c r="U57" s="76" t="s">
        <v>2243</v>
      </c>
      <c r="V57" s="76" t="str">
        <f t="shared" si="7"/>
        <v>prosty eurowkręt - N/A</v>
      </c>
      <c r="W57" s="76" t="s">
        <v>2243</v>
      </c>
      <c r="X57" s="76" t="str">
        <f t="shared" si="8"/>
        <v>prosty expando - N/A</v>
      </c>
      <c r="Y57" s="75"/>
      <c r="Z57" s="75"/>
    </row>
    <row r="58" spans="1:26" ht="15">
      <c r="A58" s="75" t="s">
        <v>1201</v>
      </c>
      <c r="B58" s="75" t="s">
        <v>2479</v>
      </c>
      <c r="C58" s="75" t="str">
        <f>'Translate&amp;Prices&amp;Logo'!B553</f>
        <v>Nakładany</v>
      </c>
      <c r="D58" s="73" t="str">
        <f t="shared" si="0"/>
        <v>široký_STRONGHINGES_Naložený</v>
      </c>
      <c r="E58" s="75" t="str">
        <f>'Translate&amp;Prices&amp;Logo'!$B$582</f>
        <v>ze sprężyną z tłumieniem</v>
      </c>
      <c r="F58" s="75" t="str">
        <f>'Translate&amp;Prices&amp;Logo'!$B$585</f>
        <v>srebro</v>
      </c>
      <c r="G58" s="75" t="str">
        <f t="shared" si="10"/>
        <v>350827 - Nakładany ze sprężyną z tłumieniem - srebro</v>
      </c>
      <c r="H58" s="76" t="s">
        <v>1199</v>
      </c>
      <c r="I58" s="76">
        <v>350827</v>
      </c>
      <c r="J58" s="76" t="s">
        <v>1199</v>
      </c>
      <c r="K58" s="76">
        <v>92596</v>
      </c>
      <c r="L58" s="76" t="str">
        <f t="shared" si="2"/>
        <v>krzyżakowy, wkręt - 92596</v>
      </c>
      <c r="M58" s="76">
        <v>315856</v>
      </c>
      <c r="N58" s="76" t="str">
        <f t="shared" si="3"/>
        <v>na wkręt (z mimośrodem) - 315856</v>
      </c>
      <c r="O58" s="76">
        <v>92597</v>
      </c>
      <c r="P58" s="76" t="str">
        <f t="shared" si="4"/>
        <v>krzyżakowy eurowkręt - 92597</v>
      </c>
      <c r="Q58" s="76" t="s">
        <v>2243</v>
      </c>
      <c r="R58" s="76" t="str">
        <f t="shared" si="5"/>
        <v>krzyżakowy expando - N/A</v>
      </c>
      <c r="S58" s="76" t="s">
        <v>2243</v>
      </c>
      <c r="T58" s="76" t="str">
        <f t="shared" si="6"/>
        <v>prosty wkręt - N/A</v>
      </c>
      <c r="U58" s="76" t="s">
        <v>2243</v>
      </c>
      <c r="V58" s="76" t="str">
        <f t="shared" si="7"/>
        <v>prosty eurowkręt - N/A</v>
      </c>
      <c r="W58" s="76" t="s">
        <v>2243</v>
      </c>
      <c r="X58" s="76" t="str">
        <f t="shared" si="8"/>
        <v>prosty expando - N/A</v>
      </c>
      <c r="Y58" s="75"/>
      <c r="Z58" s="75"/>
    </row>
    <row r="59" spans="1:26" ht="15">
      <c r="A59" s="75" t="s">
        <v>1201</v>
      </c>
      <c r="B59" s="75" t="s">
        <v>2479</v>
      </c>
      <c r="C59" s="75" t="str">
        <f>'Translate&amp;Prices&amp;Logo'!B553</f>
        <v>Nakładany</v>
      </c>
      <c r="D59" s="73" t="str">
        <f t="shared" si="0"/>
        <v>široký_STRONGHINGES_Naložený</v>
      </c>
      <c r="E59" s="75" t="str">
        <f>'Translate&amp;Prices&amp;Logo'!$B$583</f>
        <v>ze sprężyną bez tłumienia</v>
      </c>
      <c r="F59" s="75" t="str">
        <f>'Translate&amp;Prices&amp;Logo'!$B$585</f>
        <v>srebro</v>
      </c>
      <c r="G59" s="75" t="str">
        <f t="shared" si="10"/>
        <v>350834 - Nakładany ze sprężyną bez tłumienia - srebro</v>
      </c>
      <c r="H59" s="76" t="s">
        <v>1199</v>
      </c>
      <c r="I59" s="76">
        <v>350834</v>
      </c>
      <c r="J59" s="76" t="s">
        <v>1199</v>
      </c>
      <c r="K59" s="76">
        <v>92596</v>
      </c>
      <c r="L59" s="76" t="str">
        <f t="shared" si="2"/>
        <v>krzyżakowy, wkręt - 92596</v>
      </c>
      <c r="M59" s="76">
        <v>315856</v>
      </c>
      <c r="N59" s="76" t="str">
        <f t="shared" si="3"/>
        <v>na wkręt (z mimośrodem) - 315856</v>
      </c>
      <c r="O59" s="76">
        <v>92597</v>
      </c>
      <c r="P59" s="76" t="str">
        <f t="shared" si="4"/>
        <v>krzyżakowy eurowkręt - 92597</v>
      </c>
      <c r="Q59" s="76" t="s">
        <v>2243</v>
      </c>
      <c r="R59" s="76" t="str">
        <f t="shared" si="5"/>
        <v>krzyżakowy expando - N/A</v>
      </c>
      <c r="S59" s="76" t="s">
        <v>2243</v>
      </c>
      <c r="T59" s="76" t="str">
        <f t="shared" si="6"/>
        <v>prosty wkręt - N/A</v>
      </c>
      <c r="U59" s="76" t="s">
        <v>2243</v>
      </c>
      <c r="V59" s="76" t="str">
        <f t="shared" si="7"/>
        <v>prosty eurowkręt - N/A</v>
      </c>
      <c r="W59" s="76" t="s">
        <v>2243</v>
      </c>
      <c r="X59" s="76" t="str">
        <f t="shared" si="8"/>
        <v>prosty expando - N/A</v>
      </c>
      <c r="Y59" s="75"/>
      <c r="Z59" s="75"/>
    </row>
    <row r="60" spans="1:26" ht="15">
      <c r="A60" s="75" t="s">
        <v>1201</v>
      </c>
      <c r="B60" s="75" t="s">
        <v>2479</v>
      </c>
      <c r="C60" s="75" t="str">
        <f>'Translate&amp;Prices&amp;Logo'!B553</f>
        <v>Nakładany</v>
      </c>
      <c r="D60" s="73" t="str">
        <f t="shared" si="0"/>
        <v>široký_STRONGHINGES_Naložený</v>
      </c>
      <c r="E60" s="75" t="str">
        <f>'Translate&amp;Prices&amp;Logo'!$B$584</f>
        <v>tip-on bez sprężyny/tłumienie</v>
      </c>
      <c r="F60" s="75" t="str">
        <f>'Translate&amp;Prices&amp;Logo'!$B$585</f>
        <v>srebro</v>
      </c>
      <c r="G60" s="75" t="str">
        <f t="shared" si="10"/>
        <v>350837 - Nakładany tip-on bez sprężyny/tłumienie - srebro</v>
      </c>
      <c r="H60" s="76" t="s">
        <v>1199</v>
      </c>
      <c r="I60" s="76">
        <v>350837</v>
      </c>
      <c r="J60" s="76" t="s">
        <v>1199</v>
      </c>
      <c r="K60" s="76">
        <v>92596</v>
      </c>
      <c r="L60" s="76" t="str">
        <f t="shared" si="2"/>
        <v>krzyżakowy, wkręt - 92596</v>
      </c>
      <c r="M60" s="76">
        <v>315856</v>
      </c>
      <c r="N60" s="76" t="str">
        <f t="shared" si="3"/>
        <v>na wkręt (z mimośrodem) - 315856</v>
      </c>
      <c r="O60" s="76">
        <v>92597</v>
      </c>
      <c r="P60" s="76" t="str">
        <f t="shared" si="4"/>
        <v>krzyżakowy eurowkręt - 92597</v>
      </c>
      <c r="Q60" s="76" t="s">
        <v>2243</v>
      </c>
      <c r="R60" s="76" t="str">
        <f t="shared" si="5"/>
        <v>krzyżakowy expando - N/A</v>
      </c>
      <c r="S60" s="76" t="s">
        <v>2243</v>
      </c>
      <c r="T60" s="76" t="str">
        <f t="shared" si="6"/>
        <v>prosty wkręt - N/A</v>
      </c>
      <c r="U60" s="76" t="s">
        <v>2243</v>
      </c>
      <c r="V60" s="76" t="str">
        <f t="shared" si="7"/>
        <v>prosty eurowkręt - N/A</v>
      </c>
      <c r="W60" s="76" t="s">
        <v>2243</v>
      </c>
      <c r="X60" s="76" t="str">
        <f t="shared" si="8"/>
        <v>prosty expando - N/A</v>
      </c>
      <c r="Y60" s="75"/>
      <c r="Z60" s="75"/>
    </row>
    <row r="61" spans="1:26" ht="15">
      <c r="A61" s="80" t="s">
        <v>1201</v>
      </c>
      <c r="B61" s="75" t="s">
        <v>2479</v>
      </c>
      <c r="C61" s="80" t="str">
        <f>'Translate&amp;Prices&amp;Logo'!B554</f>
        <v>Półnakładany</v>
      </c>
      <c r="D61" s="73" t="str">
        <f t="shared" si="0"/>
        <v>široký_STRONGHINGES_Polonaložený</v>
      </c>
      <c r="E61" s="80" t="str">
        <f>'Translate&amp;Prices&amp;Logo'!$B$582</f>
        <v>ze sprężyną z tłumieniem</v>
      </c>
      <c r="F61" s="75" t="str">
        <f>'Translate&amp;Prices&amp;Logo'!$B$585</f>
        <v>srebro</v>
      </c>
      <c r="G61" s="75" t="str">
        <f t="shared" si="10"/>
        <v>350828 - Półnakładany ze sprężyną z tłumieniem - srebro</v>
      </c>
      <c r="H61" s="76" t="s">
        <v>1199</v>
      </c>
      <c r="I61" s="76">
        <v>350828</v>
      </c>
      <c r="J61" s="76" t="s">
        <v>1199</v>
      </c>
      <c r="K61" s="76">
        <v>92596</v>
      </c>
      <c r="L61" s="76" t="str">
        <f t="shared" si="2"/>
        <v>krzyżakowy, wkręt - 92596</v>
      </c>
      <c r="M61" s="76">
        <v>315856</v>
      </c>
      <c r="N61" s="76" t="str">
        <f t="shared" si="3"/>
        <v>na wkręt (z mimośrodem) - 315856</v>
      </c>
      <c r="O61" s="76">
        <v>92597</v>
      </c>
      <c r="P61" s="76" t="str">
        <f t="shared" si="4"/>
        <v>krzyżakowy eurowkręt - 92597</v>
      </c>
      <c r="Q61" s="76" t="s">
        <v>2243</v>
      </c>
      <c r="R61" s="76" t="str">
        <f t="shared" si="5"/>
        <v>krzyżakowy expando - N/A</v>
      </c>
      <c r="S61" s="76" t="s">
        <v>2243</v>
      </c>
      <c r="T61" s="76" t="str">
        <f t="shared" si="6"/>
        <v>prosty wkręt - N/A</v>
      </c>
      <c r="U61" s="76" t="s">
        <v>2243</v>
      </c>
      <c r="V61" s="76" t="str">
        <f t="shared" si="7"/>
        <v>prosty eurowkręt - N/A</v>
      </c>
      <c r="W61" s="76" t="s">
        <v>2243</v>
      </c>
      <c r="X61" s="76" t="str">
        <f t="shared" si="8"/>
        <v>prosty expando - N/A</v>
      </c>
      <c r="Y61" s="75"/>
      <c r="Z61" s="75"/>
    </row>
    <row r="62" spans="1:26" ht="15">
      <c r="A62" s="80" t="s">
        <v>1201</v>
      </c>
      <c r="B62" s="75" t="s">
        <v>2479</v>
      </c>
      <c r="C62" s="80" t="str">
        <f>'Translate&amp;Prices&amp;Logo'!B554</f>
        <v>Półnakładany</v>
      </c>
      <c r="D62" s="73" t="str">
        <f t="shared" si="0"/>
        <v>široký_STRONGHINGES_Polonaložený</v>
      </c>
      <c r="E62" s="80" t="str">
        <f>'Translate&amp;Prices&amp;Logo'!$B$583</f>
        <v>ze sprężyną bez tłumienia</v>
      </c>
      <c r="F62" s="75" t="str">
        <f>'Translate&amp;Prices&amp;Logo'!$B$585</f>
        <v>srebro</v>
      </c>
      <c r="G62" s="75" t="str">
        <f t="shared" si="10"/>
        <v>350835 - Półnakładany ze sprężyną bez tłumienia - srebro</v>
      </c>
      <c r="H62" s="76" t="s">
        <v>1199</v>
      </c>
      <c r="I62" s="76">
        <v>350835</v>
      </c>
      <c r="J62" s="76" t="s">
        <v>1199</v>
      </c>
      <c r="K62" s="76">
        <v>92596</v>
      </c>
      <c r="L62" s="76" t="str">
        <f t="shared" si="2"/>
        <v>krzyżakowy, wkręt - 92596</v>
      </c>
      <c r="M62" s="76">
        <v>315856</v>
      </c>
      <c r="N62" s="76" t="str">
        <f t="shared" si="3"/>
        <v>na wkręt (z mimośrodem) - 315856</v>
      </c>
      <c r="O62" s="76">
        <v>92597</v>
      </c>
      <c r="P62" s="76" t="str">
        <f t="shared" si="4"/>
        <v>krzyżakowy eurowkręt - 92597</v>
      </c>
      <c r="Q62" s="76" t="s">
        <v>2243</v>
      </c>
      <c r="R62" s="76" t="str">
        <f t="shared" si="5"/>
        <v>krzyżakowy expando - N/A</v>
      </c>
      <c r="S62" s="76" t="s">
        <v>2243</v>
      </c>
      <c r="T62" s="76" t="str">
        <f t="shared" si="6"/>
        <v>prosty wkręt - N/A</v>
      </c>
      <c r="U62" s="76" t="s">
        <v>2243</v>
      </c>
      <c r="V62" s="76" t="str">
        <f t="shared" si="7"/>
        <v>prosty eurowkręt - N/A</v>
      </c>
      <c r="W62" s="76" t="s">
        <v>2243</v>
      </c>
      <c r="X62" s="76" t="str">
        <f t="shared" si="8"/>
        <v>prosty expando - N/A</v>
      </c>
      <c r="Y62" s="75"/>
      <c r="Z62" s="75"/>
    </row>
    <row r="63" spans="1:26" ht="15">
      <c r="A63" s="80" t="s">
        <v>1201</v>
      </c>
      <c r="B63" s="75" t="s">
        <v>2479</v>
      </c>
      <c r="C63" s="80" t="str">
        <f>'Translate&amp;Prices&amp;Logo'!B554</f>
        <v>Półnakładany</v>
      </c>
      <c r="D63" s="73" t="str">
        <f t="shared" si="0"/>
        <v>široký_STRONGHINGES_Polonaložený</v>
      </c>
      <c r="E63" s="80" t="str">
        <f>'Translate&amp;Prices&amp;Logo'!$B$584</f>
        <v>tip-on bez sprężyny/tłumienie</v>
      </c>
      <c r="F63" s="75" t="str">
        <f>'Translate&amp;Prices&amp;Logo'!$B$585</f>
        <v>srebro</v>
      </c>
      <c r="G63" s="75" t="str">
        <f t="shared" si="10"/>
        <v>350838 - Półnakładany tip-on bez sprężyny/tłumienie - srebro</v>
      </c>
      <c r="H63" s="76" t="s">
        <v>1199</v>
      </c>
      <c r="I63" s="76">
        <v>350838</v>
      </c>
      <c r="J63" s="76" t="s">
        <v>1199</v>
      </c>
      <c r="K63" s="76">
        <v>92596</v>
      </c>
      <c r="L63" s="76" t="str">
        <f t="shared" si="2"/>
        <v>krzyżakowy, wkręt - 92596</v>
      </c>
      <c r="M63" s="76">
        <v>315856</v>
      </c>
      <c r="N63" s="76" t="str">
        <f t="shared" si="3"/>
        <v>na wkręt (z mimośrodem) - 315856</v>
      </c>
      <c r="O63" s="76">
        <v>92597</v>
      </c>
      <c r="P63" s="76" t="str">
        <f t="shared" si="4"/>
        <v>krzyżakowy eurowkręt - 92597</v>
      </c>
      <c r="Q63" s="76" t="s">
        <v>2243</v>
      </c>
      <c r="R63" s="76" t="str">
        <f t="shared" si="5"/>
        <v>krzyżakowy expando - N/A</v>
      </c>
      <c r="S63" s="76" t="s">
        <v>2243</v>
      </c>
      <c r="T63" s="76" t="str">
        <f t="shared" si="6"/>
        <v>prosty wkręt - N/A</v>
      </c>
      <c r="U63" s="76" t="s">
        <v>2243</v>
      </c>
      <c r="V63" s="76" t="str">
        <f t="shared" si="7"/>
        <v>prosty eurowkręt - N/A</v>
      </c>
      <c r="W63" s="76" t="s">
        <v>2243</v>
      </c>
      <c r="X63" s="76" t="str">
        <f t="shared" si="8"/>
        <v>prosty expando - N/A</v>
      </c>
      <c r="Y63" s="75"/>
      <c r="Z63" s="75"/>
    </row>
    <row r="64" spans="1:26" ht="15">
      <c r="A64" s="75" t="s">
        <v>1201</v>
      </c>
      <c r="B64" s="75" t="s">
        <v>2479</v>
      </c>
      <c r="C64" s="75" t="str">
        <f>'Translate&amp;Prices&amp;Logo'!B555</f>
        <v>Wpuszczany</v>
      </c>
      <c r="D64" s="73" t="str">
        <f t="shared" si="0"/>
        <v>široký_STRONGHINGES_Vložený</v>
      </c>
      <c r="E64" s="75" t="str">
        <f>'Translate&amp;Prices&amp;Logo'!$B$582</f>
        <v>ze sprężyną z tłumieniem</v>
      </c>
      <c r="F64" s="75" t="str">
        <f>'Translate&amp;Prices&amp;Logo'!$B$585</f>
        <v>srebro</v>
      </c>
      <c r="G64" s="75" t="str">
        <f t="shared" si="10"/>
        <v>350829 - Wpuszczany ze sprężyną z tłumieniem - srebro</v>
      </c>
      <c r="H64" s="76" t="s">
        <v>1199</v>
      </c>
      <c r="I64" s="76">
        <v>350829</v>
      </c>
      <c r="J64" s="76" t="s">
        <v>1199</v>
      </c>
      <c r="K64" s="76">
        <v>92598</v>
      </c>
      <c r="L64" s="76" t="str">
        <f t="shared" si="2"/>
        <v>krzyżakowy, wkręt - 92598</v>
      </c>
      <c r="M64" s="76">
        <v>350868</v>
      </c>
      <c r="N64" s="76" t="str">
        <f t="shared" si="3"/>
        <v>na wkręt (z mimośrodem) - 350868</v>
      </c>
      <c r="O64" s="76">
        <v>92599</v>
      </c>
      <c r="P64" s="76" t="str">
        <f t="shared" si="4"/>
        <v>krzyżakowy eurowkręt - 92599</v>
      </c>
      <c r="Q64" s="76" t="s">
        <v>2243</v>
      </c>
      <c r="R64" s="76" t="str">
        <f t="shared" si="5"/>
        <v>krzyżakowy expando - N/A</v>
      </c>
      <c r="S64" s="76" t="s">
        <v>2243</v>
      </c>
      <c r="T64" s="76" t="str">
        <f t="shared" si="6"/>
        <v>prosty wkręt - N/A</v>
      </c>
      <c r="U64" s="76" t="s">
        <v>2243</v>
      </c>
      <c r="V64" s="76" t="str">
        <f t="shared" si="7"/>
        <v>prosty eurowkręt - N/A</v>
      </c>
      <c r="W64" s="76" t="s">
        <v>2243</v>
      </c>
      <c r="X64" s="76" t="str">
        <f t="shared" si="8"/>
        <v>prosty expando - N/A</v>
      </c>
      <c r="Y64" s="75"/>
      <c r="Z64" s="75"/>
    </row>
    <row r="65" spans="1:26" ht="15">
      <c r="A65" s="75" t="s">
        <v>1201</v>
      </c>
      <c r="B65" s="75" t="s">
        <v>2479</v>
      </c>
      <c r="C65" s="75" t="str">
        <f>'Translate&amp;Prices&amp;Logo'!B555</f>
        <v>Wpuszczany</v>
      </c>
      <c r="D65" s="73" t="str">
        <f t="shared" si="0"/>
        <v>široký_STRONGHINGES_Vložený</v>
      </c>
      <c r="E65" s="75" t="str">
        <f>'Translate&amp;Prices&amp;Logo'!$B$583</f>
        <v>ze sprężyną bez tłumienia</v>
      </c>
      <c r="F65" s="75" t="str">
        <f>'Translate&amp;Prices&amp;Logo'!$B$585</f>
        <v>srebro</v>
      </c>
      <c r="G65" s="75" t="str">
        <f t="shared" si="10"/>
        <v>350836 - Wpuszczany ze sprężyną bez tłumienia - srebro</v>
      </c>
      <c r="H65" s="76" t="s">
        <v>1199</v>
      </c>
      <c r="I65" s="76">
        <v>350836</v>
      </c>
      <c r="J65" s="76" t="s">
        <v>1199</v>
      </c>
      <c r="K65" s="76">
        <v>92598</v>
      </c>
      <c r="L65" s="76" t="str">
        <f t="shared" si="2"/>
        <v>krzyżakowy, wkręt - 92598</v>
      </c>
      <c r="M65" s="76">
        <v>350868</v>
      </c>
      <c r="N65" s="76" t="str">
        <f t="shared" si="3"/>
        <v>na wkręt (z mimośrodem) - 350868</v>
      </c>
      <c r="O65" s="76">
        <v>92599</v>
      </c>
      <c r="P65" s="76" t="str">
        <f t="shared" si="4"/>
        <v>krzyżakowy eurowkręt - 92599</v>
      </c>
      <c r="Q65" s="76" t="s">
        <v>2243</v>
      </c>
      <c r="R65" s="76" t="str">
        <f t="shared" si="5"/>
        <v>krzyżakowy expando - N/A</v>
      </c>
      <c r="S65" s="76" t="s">
        <v>2243</v>
      </c>
      <c r="T65" s="76" t="str">
        <f t="shared" si="6"/>
        <v>prosty wkręt - N/A</v>
      </c>
      <c r="U65" s="76" t="s">
        <v>2243</v>
      </c>
      <c r="V65" s="76" t="str">
        <f t="shared" si="7"/>
        <v>prosty eurowkręt - N/A</v>
      </c>
      <c r="W65" s="76" t="s">
        <v>2243</v>
      </c>
      <c r="X65" s="76" t="str">
        <f t="shared" si="8"/>
        <v>prosty expando - N/A</v>
      </c>
      <c r="Y65" s="75"/>
      <c r="Z65" s="75"/>
    </row>
    <row r="66" spans="1:26" ht="15">
      <c r="A66" s="75" t="s">
        <v>1201</v>
      </c>
      <c r="B66" s="75" t="s">
        <v>2479</v>
      </c>
      <c r="C66" s="75" t="str">
        <f>'Translate&amp;Prices&amp;Logo'!B555</f>
        <v>Wpuszczany</v>
      </c>
      <c r="D66" s="73" t="str">
        <f t="shared" si="0"/>
        <v>široký_STRONGHINGES_Vložený</v>
      </c>
      <c r="E66" s="75" t="str">
        <f>'Translate&amp;Prices&amp;Logo'!$B$584</f>
        <v>tip-on bez sprężyny/tłumienie</v>
      </c>
      <c r="F66" s="75" t="str">
        <f>'Translate&amp;Prices&amp;Logo'!$B$585</f>
        <v>srebro</v>
      </c>
      <c r="G66" s="75" t="str">
        <f t="shared" si="10"/>
        <v>350839 - Wpuszczany tip-on bez sprężyny/tłumienie - srebro</v>
      </c>
      <c r="H66" s="76" t="s">
        <v>1199</v>
      </c>
      <c r="I66" s="76">
        <v>350839</v>
      </c>
      <c r="J66" s="76" t="s">
        <v>1199</v>
      </c>
      <c r="K66" s="76">
        <v>92598</v>
      </c>
      <c r="L66" s="76" t="str">
        <f t="shared" si="2"/>
        <v>krzyżakowy, wkręt - 92598</v>
      </c>
      <c r="M66" s="76">
        <v>350868</v>
      </c>
      <c r="N66" s="76" t="str">
        <f t="shared" si="3"/>
        <v>na wkręt (z mimośrodem) - 350868</v>
      </c>
      <c r="O66" s="76">
        <v>92599</v>
      </c>
      <c r="P66" s="76" t="str">
        <f t="shared" si="4"/>
        <v>krzyżakowy eurowkręt - 92599</v>
      </c>
      <c r="Q66" s="76" t="s">
        <v>2243</v>
      </c>
      <c r="R66" s="76" t="str">
        <f t="shared" si="5"/>
        <v>krzyżakowy expando - N/A</v>
      </c>
      <c r="S66" s="76" t="s">
        <v>2243</v>
      </c>
      <c r="T66" s="76" t="str">
        <f t="shared" si="6"/>
        <v>prosty wkręt - N/A</v>
      </c>
      <c r="U66" s="76" t="s">
        <v>2243</v>
      </c>
      <c r="V66" s="76" t="str">
        <f t="shared" si="7"/>
        <v>prosty eurowkręt - N/A</v>
      </c>
      <c r="W66" s="76" t="s">
        <v>2243</v>
      </c>
      <c r="X66" s="76" t="str">
        <f t="shared" si="8"/>
        <v>prosty expando - N/A</v>
      </c>
      <c r="Y66" s="75"/>
      <c r="Z66" s="75"/>
    </row>
    <row r="67" spans="1:26" ht="15">
      <c r="X67" s="75"/>
      <c r="Y67" s="75"/>
      <c r="Z67" s="75"/>
    </row>
    <row r="69" spans="1:26" ht="16.350000000000001" customHeight="1">
      <c r="A69" s="80" t="s">
        <v>1272</v>
      </c>
      <c r="B69" s="80" t="s">
        <v>1272</v>
      </c>
      <c r="C69" s="75" t="s">
        <v>115</v>
      </c>
    </row>
    <row r="70" spans="1:26" ht="16.350000000000001" customHeight="1">
      <c r="A70" s="80" t="s">
        <v>1272</v>
      </c>
      <c r="B70" s="80" t="s">
        <v>1272</v>
      </c>
      <c r="C70" s="75" t="s">
        <v>115</v>
      </c>
    </row>
    <row r="71" spans="1:26" ht="16.350000000000001" customHeight="1">
      <c r="A71" s="80" t="s">
        <v>1272</v>
      </c>
      <c r="B71" s="80" t="s">
        <v>1272</v>
      </c>
      <c r="C71" s="75" t="s">
        <v>115</v>
      </c>
    </row>
    <row r="72" spans="1:26" ht="16.350000000000001" customHeight="1">
      <c r="A72" s="80" t="s">
        <v>1272</v>
      </c>
      <c r="B72" s="80" t="s">
        <v>1272</v>
      </c>
      <c r="C72" s="75" t="s">
        <v>115</v>
      </c>
    </row>
    <row r="73" spans="1:26" ht="16.350000000000001" customHeight="1">
      <c r="A73" s="80" t="s">
        <v>1273</v>
      </c>
      <c r="B73" s="80" t="s">
        <v>1273</v>
      </c>
      <c r="C73" s="75" t="s">
        <v>115</v>
      </c>
    </row>
    <row r="74" spans="1:26" ht="16.350000000000001" customHeight="1">
      <c r="A74" s="80" t="s">
        <v>1273</v>
      </c>
      <c r="B74" s="80" t="s">
        <v>1273</v>
      </c>
      <c r="C74" s="75" t="s">
        <v>115</v>
      </c>
    </row>
    <row r="75" spans="1:26" ht="16.350000000000001" customHeight="1">
      <c r="A75" s="80" t="s">
        <v>1274</v>
      </c>
      <c r="B75" s="80" t="s">
        <v>1274</v>
      </c>
      <c r="C75" s="75" t="s">
        <v>115</v>
      </c>
    </row>
    <row r="76" spans="1:26" ht="16.350000000000001" customHeight="1">
      <c r="A76" s="80" t="s">
        <v>1274</v>
      </c>
      <c r="B76" s="80" t="s">
        <v>1274</v>
      </c>
      <c r="C76" s="75" t="s">
        <v>115</v>
      </c>
    </row>
    <row r="77" spans="1:26" ht="16.350000000000001" customHeight="1">
      <c r="A77" s="80" t="s">
        <v>1275</v>
      </c>
      <c r="B77" s="80" t="s">
        <v>1275</v>
      </c>
      <c r="C77" s="75" t="s">
        <v>115</v>
      </c>
    </row>
    <row r="78" spans="1:26" ht="16.350000000000001" customHeight="1">
      <c r="A78" s="80" t="s">
        <v>1275</v>
      </c>
      <c r="B78" s="80" t="s">
        <v>1275</v>
      </c>
      <c r="C78" s="75" t="s">
        <v>115</v>
      </c>
    </row>
    <row r="79" spans="1:26" ht="16.350000000000001" customHeight="1">
      <c r="A79" s="80" t="s">
        <v>1275</v>
      </c>
      <c r="B79" s="80" t="s">
        <v>1275</v>
      </c>
      <c r="C79" s="75" t="s">
        <v>115</v>
      </c>
    </row>
    <row r="80" spans="1:26" ht="16.350000000000001" customHeight="1">
      <c r="A80" s="80" t="s">
        <v>1275</v>
      </c>
      <c r="B80" s="80" t="s">
        <v>1275</v>
      </c>
      <c r="C80" s="75" t="s">
        <v>115</v>
      </c>
    </row>
    <row r="81" spans="1:7" ht="16.350000000000001" customHeight="1">
      <c r="A81" s="80" t="s">
        <v>1276</v>
      </c>
      <c r="B81" s="80" t="s">
        <v>1276</v>
      </c>
      <c r="C81" s="75" t="s">
        <v>115</v>
      </c>
      <c r="G81" s="75" t="s">
        <v>2298</v>
      </c>
    </row>
    <row r="82" spans="1:7" ht="16.350000000000001" customHeight="1">
      <c r="A82" s="80" t="s">
        <v>1276</v>
      </c>
      <c r="B82" s="80" t="s">
        <v>1276</v>
      </c>
      <c r="C82" s="75" t="s">
        <v>115</v>
      </c>
    </row>
    <row r="83" spans="1:7" ht="16.350000000000001" customHeight="1">
      <c r="A83" s="80" t="s">
        <v>1276</v>
      </c>
      <c r="B83" s="80" t="s">
        <v>1276</v>
      </c>
      <c r="C83" s="75" t="s">
        <v>115</v>
      </c>
    </row>
    <row r="84" spans="1:7" ht="16.350000000000001" customHeight="1">
      <c r="A84" s="80" t="s">
        <v>1277</v>
      </c>
      <c r="B84" s="80" t="s">
        <v>1277</v>
      </c>
      <c r="C84" s="75" t="s">
        <v>115</v>
      </c>
    </row>
    <row r="85" spans="1:7" ht="16.350000000000001" customHeight="1">
      <c r="A85" s="80" t="s">
        <v>1277</v>
      </c>
      <c r="B85" s="80" t="s">
        <v>1277</v>
      </c>
      <c r="C85" s="75" t="s">
        <v>115</v>
      </c>
    </row>
    <row r="86" spans="1:7" ht="16.350000000000001" customHeight="1">
      <c r="A86" s="80" t="s">
        <v>1277</v>
      </c>
      <c r="B86" s="80" t="s">
        <v>1277</v>
      </c>
      <c r="C86" s="75" t="s">
        <v>115</v>
      </c>
    </row>
    <row r="87" spans="1:7" ht="16.350000000000001" customHeight="1">
      <c r="A87" s="80" t="s">
        <v>1278</v>
      </c>
      <c r="B87" s="80" t="s">
        <v>1278</v>
      </c>
      <c r="C87" s="75" t="s">
        <v>115</v>
      </c>
    </row>
    <row r="88" spans="1:7" ht="16.350000000000001" customHeight="1">
      <c r="A88" s="80" t="s">
        <v>2480</v>
      </c>
      <c r="B88" s="80" t="s">
        <v>2480</v>
      </c>
      <c r="C88" s="75" t="s">
        <v>115</v>
      </c>
    </row>
    <row r="89" spans="1:7" ht="16.350000000000001" customHeight="1">
      <c r="A89" s="80" t="s">
        <v>2480</v>
      </c>
      <c r="B89" s="80" t="s">
        <v>2480</v>
      </c>
      <c r="C89" s="75" t="s">
        <v>115</v>
      </c>
    </row>
    <row r="90" spans="1:7" ht="16.350000000000001" customHeight="1">
      <c r="A90" s="80" t="s">
        <v>1280</v>
      </c>
      <c r="B90" s="80" t="s">
        <v>1280</v>
      </c>
      <c r="C90" s="75" t="s">
        <v>115</v>
      </c>
    </row>
    <row r="91" spans="1:7" ht="16.350000000000001" customHeight="1">
      <c r="A91" s="80" t="s">
        <v>1280</v>
      </c>
      <c r="B91" s="80" t="s">
        <v>1280</v>
      </c>
      <c r="C91" s="75" t="s">
        <v>115</v>
      </c>
    </row>
    <row r="92" spans="1:7" ht="16.350000000000001" customHeight="1">
      <c r="A92" s="80" t="s">
        <v>1280</v>
      </c>
      <c r="B92" s="80" t="s">
        <v>1280</v>
      </c>
      <c r="C92" s="75" t="s">
        <v>115</v>
      </c>
    </row>
    <row r="93" spans="1:7" ht="16.350000000000001" customHeight="1">
      <c r="A93" s="80" t="s">
        <v>1280</v>
      </c>
      <c r="B93" s="80" t="s">
        <v>1280</v>
      </c>
      <c r="C93" s="75" t="s">
        <v>115</v>
      </c>
    </row>
    <row r="94" spans="1:7" ht="16.350000000000001" customHeight="1">
      <c r="A94" s="80" t="s">
        <v>1281</v>
      </c>
      <c r="B94" s="80" t="s">
        <v>1281</v>
      </c>
      <c r="C94" s="75" t="s">
        <v>115</v>
      </c>
    </row>
    <row r="95" spans="1:7" ht="16.350000000000001" customHeight="1">
      <c r="A95" s="80" t="s">
        <v>1281</v>
      </c>
      <c r="B95" s="80" t="s">
        <v>1281</v>
      </c>
      <c r="C95" s="75" t="s">
        <v>115</v>
      </c>
    </row>
    <row r="96" spans="1:7" ht="16.350000000000001" customHeight="1">
      <c r="A96" s="80" t="s">
        <v>1281</v>
      </c>
      <c r="B96" s="80" t="s">
        <v>1281</v>
      </c>
      <c r="C96" s="75" t="s">
        <v>115</v>
      </c>
    </row>
    <row r="97" spans="1:3" ht="16.350000000000001" customHeight="1">
      <c r="A97" s="80" t="s">
        <v>1281</v>
      </c>
      <c r="B97" s="80" t="s">
        <v>1281</v>
      </c>
      <c r="C97" s="75" t="s">
        <v>115</v>
      </c>
    </row>
    <row r="98" spans="1:3" ht="16.350000000000001" customHeight="1">
      <c r="A98" s="80" t="s">
        <v>1282</v>
      </c>
      <c r="B98" s="80" t="s">
        <v>1282</v>
      </c>
      <c r="C98" s="75" t="s">
        <v>115</v>
      </c>
    </row>
    <row r="99" spans="1:3" ht="16.350000000000001" customHeight="1">
      <c r="A99" s="80" t="s">
        <v>1282</v>
      </c>
      <c r="B99" s="80" t="s">
        <v>1282</v>
      </c>
      <c r="C99" s="75" t="s">
        <v>115</v>
      </c>
    </row>
    <row r="100" spans="1:3" ht="16.350000000000001" customHeight="1">
      <c r="A100" s="80" t="s">
        <v>1282</v>
      </c>
      <c r="B100" s="80" t="s">
        <v>1282</v>
      </c>
      <c r="C100" s="75" t="s">
        <v>115</v>
      </c>
    </row>
    <row r="101" spans="1:3" ht="16.350000000000001" customHeight="1">
      <c r="A101" s="80" t="s">
        <v>1282</v>
      </c>
      <c r="B101" s="80" t="s">
        <v>1282</v>
      </c>
      <c r="C101" s="75" t="s">
        <v>115</v>
      </c>
    </row>
    <row r="102" spans="1:3" ht="16.350000000000001" customHeight="1">
      <c r="A102" s="80" t="s">
        <v>1283</v>
      </c>
      <c r="B102" s="80" t="s">
        <v>1283</v>
      </c>
      <c r="C102" s="75" t="s">
        <v>115</v>
      </c>
    </row>
    <row r="103" spans="1:3" ht="16.350000000000001" customHeight="1">
      <c r="A103" s="80" t="s">
        <v>1283</v>
      </c>
      <c r="B103" s="80" t="s">
        <v>1283</v>
      </c>
      <c r="C103" s="75" t="s">
        <v>115</v>
      </c>
    </row>
    <row r="104" spans="1:3" ht="16.350000000000001" customHeight="1">
      <c r="A104" s="80" t="s">
        <v>1283</v>
      </c>
      <c r="B104" s="80" t="s">
        <v>1283</v>
      </c>
      <c r="C104" s="75" t="s">
        <v>115</v>
      </c>
    </row>
    <row r="105" spans="1:3" ht="16.350000000000001" customHeight="1">
      <c r="A105" s="80" t="s">
        <v>1283</v>
      </c>
      <c r="B105" s="80" t="s">
        <v>1283</v>
      </c>
      <c r="C105" s="75" t="s">
        <v>115</v>
      </c>
    </row>
    <row r="106" spans="1:3" ht="16.350000000000001" customHeight="1">
      <c r="A106" s="80" t="s">
        <v>1283</v>
      </c>
      <c r="B106" s="80" t="s">
        <v>1283</v>
      </c>
      <c r="C106" s="75" t="s">
        <v>115</v>
      </c>
    </row>
    <row r="107" spans="1:3" ht="16.350000000000001" customHeight="1">
      <c r="A107" s="80" t="s">
        <v>1284</v>
      </c>
      <c r="B107" s="80" t="s">
        <v>1284</v>
      </c>
      <c r="C107" s="75" t="s">
        <v>115</v>
      </c>
    </row>
    <row r="108" spans="1:3" ht="16.350000000000001" customHeight="1">
      <c r="A108" s="80" t="s">
        <v>1284</v>
      </c>
      <c r="B108" s="80" t="s">
        <v>1284</v>
      </c>
      <c r="C108" s="75" t="s">
        <v>115</v>
      </c>
    </row>
    <row r="109" spans="1:3" ht="16.350000000000001" customHeight="1">
      <c r="A109" s="80" t="s">
        <v>1284</v>
      </c>
      <c r="B109" s="80" t="s">
        <v>1284</v>
      </c>
      <c r="C109" s="75" t="s">
        <v>115</v>
      </c>
    </row>
    <row r="110" spans="1:3" ht="16.350000000000001" customHeight="1">
      <c r="A110" s="80" t="s">
        <v>1284</v>
      </c>
      <c r="B110" s="80" t="s">
        <v>1284</v>
      </c>
      <c r="C110" s="75" t="s">
        <v>115</v>
      </c>
    </row>
    <row r="111" spans="1:3" ht="16.350000000000001" customHeight="1">
      <c r="A111" s="80" t="s">
        <v>1284</v>
      </c>
      <c r="B111" s="80" t="s">
        <v>1284</v>
      </c>
      <c r="C111" s="75" t="s">
        <v>115</v>
      </c>
    </row>
    <row r="112" spans="1:3" ht="16.350000000000001" customHeight="1">
      <c r="A112" s="80" t="s">
        <v>1285</v>
      </c>
      <c r="B112" s="80" t="s">
        <v>1285</v>
      </c>
      <c r="C112" s="75" t="s">
        <v>115</v>
      </c>
    </row>
    <row r="113" spans="1:3" ht="16.350000000000001" customHeight="1">
      <c r="A113" s="80" t="s">
        <v>1285</v>
      </c>
      <c r="B113" s="80" t="s">
        <v>1285</v>
      </c>
      <c r="C113" s="75" t="s">
        <v>115</v>
      </c>
    </row>
    <row r="114" spans="1:3" ht="16.350000000000001" customHeight="1">
      <c r="A114" s="80" t="s">
        <v>1285</v>
      </c>
      <c r="B114" s="80" t="s">
        <v>1285</v>
      </c>
      <c r="C114" s="75" t="s">
        <v>115</v>
      </c>
    </row>
    <row r="115" spans="1:3" ht="16.350000000000001" customHeight="1">
      <c r="A115" s="80" t="s">
        <v>1285</v>
      </c>
      <c r="B115" s="80" t="s">
        <v>1285</v>
      </c>
      <c r="C115" s="75" t="s">
        <v>115</v>
      </c>
    </row>
    <row r="116" spans="1:3" ht="16.350000000000001" customHeight="1">
      <c r="A116" s="80" t="s">
        <v>1285</v>
      </c>
      <c r="B116" s="80" t="s">
        <v>1285</v>
      </c>
      <c r="C116" s="75" t="s">
        <v>115</v>
      </c>
    </row>
    <row r="117" spans="1:3" ht="16.350000000000001" customHeight="1">
      <c r="A117" s="80" t="s">
        <v>1286</v>
      </c>
      <c r="B117" s="80" t="s">
        <v>1286</v>
      </c>
      <c r="C117" s="75" t="s">
        <v>115</v>
      </c>
    </row>
    <row r="118" spans="1:3" ht="16.350000000000001" customHeight="1">
      <c r="A118" s="80" t="s">
        <v>1286</v>
      </c>
      <c r="B118" s="80" t="s">
        <v>1286</v>
      </c>
      <c r="C118" s="75" t="s">
        <v>115</v>
      </c>
    </row>
    <row r="119" spans="1:3" ht="16.350000000000001" customHeight="1">
      <c r="A119" s="80" t="s">
        <v>1287</v>
      </c>
      <c r="B119" s="80" t="s">
        <v>1287</v>
      </c>
      <c r="C119" s="75" t="s">
        <v>115</v>
      </c>
    </row>
    <row r="120" spans="1:3" ht="16.350000000000001" customHeight="1">
      <c r="A120" s="80" t="s">
        <v>1287</v>
      </c>
      <c r="B120" s="80" t="s">
        <v>1287</v>
      </c>
      <c r="C120" s="75" t="s">
        <v>115</v>
      </c>
    </row>
    <row r="121" spans="1:3" ht="16.350000000000001" customHeight="1">
      <c r="A121" s="80" t="s">
        <v>1288</v>
      </c>
      <c r="B121" s="80" t="s">
        <v>1288</v>
      </c>
      <c r="C121" s="75" t="s">
        <v>115</v>
      </c>
    </row>
    <row r="122" spans="1:3" ht="16.350000000000001" customHeight="1">
      <c r="A122" s="80" t="s">
        <v>1288</v>
      </c>
      <c r="B122" s="80" t="s">
        <v>1288</v>
      </c>
      <c r="C122" s="75" t="s">
        <v>115</v>
      </c>
    </row>
    <row r="123" spans="1:3" ht="16.350000000000001" customHeight="1">
      <c r="A123" s="80" t="s">
        <v>2481</v>
      </c>
      <c r="B123" s="80" t="s">
        <v>2481</v>
      </c>
      <c r="C123" s="75" t="s">
        <v>115</v>
      </c>
    </row>
    <row r="124" spans="1:3" ht="16.350000000000001" customHeight="1">
      <c r="A124" s="80" t="s">
        <v>2481</v>
      </c>
      <c r="B124" s="80" t="s">
        <v>2481</v>
      </c>
      <c r="C124" s="75" t="s">
        <v>115</v>
      </c>
    </row>
    <row r="125" spans="1:3" ht="16.350000000000001" customHeight="1">
      <c r="A125" s="80" t="s">
        <v>2481</v>
      </c>
      <c r="B125" s="80" t="s">
        <v>2481</v>
      </c>
      <c r="C125" s="75" t="s">
        <v>115</v>
      </c>
    </row>
    <row r="126" spans="1:3" ht="16.350000000000001" customHeight="1">
      <c r="A126" s="80" t="s">
        <v>2482</v>
      </c>
      <c r="B126" s="80" t="s">
        <v>2482</v>
      </c>
      <c r="C126" s="75" t="s">
        <v>115</v>
      </c>
    </row>
    <row r="127" spans="1:3" ht="16.350000000000001" customHeight="1">
      <c r="A127" s="80" t="s">
        <v>2482</v>
      </c>
      <c r="B127" s="80" t="s">
        <v>2482</v>
      </c>
      <c r="C127" s="75" t="s">
        <v>115</v>
      </c>
    </row>
    <row r="128" spans="1:3" ht="16.350000000000001" customHeight="1">
      <c r="A128" s="80" t="s">
        <v>2482</v>
      </c>
      <c r="B128" s="80" t="s">
        <v>2482</v>
      </c>
      <c r="C128" s="75" t="s">
        <v>115</v>
      </c>
    </row>
    <row r="129" spans="1:3" ht="16.350000000000001" customHeight="1">
      <c r="A129" s="80" t="s">
        <v>2483</v>
      </c>
      <c r="B129" s="80" t="s">
        <v>2483</v>
      </c>
      <c r="C129" s="75" t="s">
        <v>115</v>
      </c>
    </row>
    <row r="130" spans="1:3" ht="16.350000000000001" customHeight="1">
      <c r="A130" s="80" t="s">
        <v>2483</v>
      </c>
      <c r="B130" s="80" t="s">
        <v>2483</v>
      </c>
      <c r="C130" s="75" t="s">
        <v>115</v>
      </c>
    </row>
    <row r="131" spans="1:3" ht="16.350000000000001" customHeight="1">
      <c r="A131" s="80" t="s">
        <v>2483</v>
      </c>
      <c r="B131" s="80" t="s">
        <v>2483</v>
      </c>
      <c r="C131" s="75" t="s">
        <v>115</v>
      </c>
    </row>
    <row r="132" spans="1:3" ht="16.350000000000001" customHeight="1">
      <c r="A132" s="75" t="s">
        <v>1272</v>
      </c>
      <c r="B132" s="75" t="s">
        <v>1272</v>
      </c>
      <c r="C132" s="75" t="s">
        <v>116</v>
      </c>
    </row>
    <row r="133" spans="1:3" ht="16.350000000000001" customHeight="1">
      <c r="A133" s="75" t="s">
        <v>1272</v>
      </c>
      <c r="B133" s="75" t="s">
        <v>1272</v>
      </c>
      <c r="C133" s="75" t="s">
        <v>116</v>
      </c>
    </row>
    <row r="134" spans="1:3" ht="16.350000000000001" customHeight="1">
      <c r="A134" s="75" t="s">
        <v>1272</v>
      </c>
      <c r="B134" s="75" t="s">
        <v>1272</v>
      </c>
      <c r="C134" s="75" t="s">
        <v>116</v>
      </c>
    </row>
    <row r="135" spans="1:3" ht="16.350000000000001" customHeight="1">
      <c r="A135" s="75" t="s">
        <v>1272</v>
      </c>
      <c r="B135" s="75" t="s">
        <v>1272</v>
      </c>
      <c r="C135" s="75" t="s">
        <v>116</v>
      </c>
    </row>
    <row r="136" spans="1:3" ht="16.350000000000001" customHeight="1">
      <c r="A136" s="75" t="s">
        <v>1273</v>
      </c>
      <c r="B136" s="75" t="s">
        <v>1273</v>
      </c>
      <c r="C136" s="75" t="s">
        <v>116</v>
      </c>
    </row>
    <row r="137" spans="1:3" ht="16.350000000000001" customHeight="1">
      <c r="A137" s="75" t="s">
        <v>1273</v>
      </c>
      <c r="B137" s="75" t="s">
        <v>1273</v>
      </c>
      <c r="C137" s="75" t="s">
        <v>116</v>
      </c>
    </row>
    <row r="138" spans="1:3" ht="16.350000000000001" customHeight="1">
      <c r="A138" s="75" t="s">
        <v>1274</v>
      </c>
      <c r="B138" s="75" t="s">
        <v>1274</v>
      </c>
      <c r="C138" s="75" t="s">
        <v>116</v>
      </c>
    </row>
    <row r="139" spans="1:3" ht="16.350000000000001" customHeight="1">
      <c r="A139" s="75" t="s">
        <v>1274</v>
      </c>
      <c r="B139" s="75" t="s">
        <v>1274</v>
      </c>
      <c r="C139" s="75" t="s">
        <v>116</v>
      </c>
    </row>
    <row r="140" spans="1:3" ht="16.350000000000001" customHeight="1">
      <c r="A140" s="75" t="s">
        <v>1275</v>
      </c>
      <c r="B140" s="75" t="s">
        <v>1275</v>
      </c>
      <c r="C140" s="75" t="s">
        <v>116</v>
      </c>
    </row>
    <row r="141" spans="1:3" ht="16.350000000000001" customHeight="1">
      <c r="A141" s="75" t="s">
        <v>1275</v>
      </c>
      <c r="B141" s="75" t="s">
        <v>1275</v>
      </c>
      <c r="C141" s="75" t="s">
        <v>116</v>
      </c>
    </row>
    <row r="142" spans="1:3" ht="16.350000000000001" customHeight="1">
      <c r="A142" s="75" t="s">
        <v>1275</v>
      </c>
      <c r="B142" s="75" t="s">
        <v>1275</v>
      </c>
      <c r="C142" s="75" t="s">
        <v>116</v>
      </c>
    </row>
    <row r="143" spans="1:3" ht="16.350000000000001" customHeight="1">
      <c r="A143" s="75" t="s">
        <v>1275</v>
      </c>
      <c r="B143" s="75" t="s">
        <v>1275</v>
      </c>
      <c r="C143" s="75" t="s">
        <v>116</v>
      </c>
    </row>
    <row r="144" spans="1:3" ht="16.350000000000001" customHeight="1">
      <c r="A144" s="75" t="s">
        <v>1276</v>
      </c>
      <c r="B144" s="75" t="s">
        <v>1276</v>
      </c>
      <c r="C144" s="75" t="s">
        <v>116</v>
      </c>
    </row>
    <row r="145" spans="1:3" ht="16.350000000000001" customHeight="1">
      <c r="A145" s="75" t="s">
        <v>1276</v>
      </c>
      <c r="B145" s="75" t="s">
        <v>1276</v>
      </c>
      <c r="C145" s="75" t="s">
        <v>116</v>
      </c>
    </row>
    <row r="146" spans="1:3" ht="16.350000000000001" customHeight="1">
      <c r="A146" s="75" t="s">
        <v>1276</v>
      </c>
      <c r="B146" s="75" t="s">
        <v>1276</v>
      </c>
      <c r="C146" s="75" t="s">
        <v>116</v>
      </c>
    </row>
    <row r="147" spans="1:3" ht="16.350000000000001" customHeight="1">
      <c r="A147" s="75" t="s">
        <v>1277</v>
      </c>
      <c r="B147" s="75" t="s">
        <v>1277</v>
      </c>
      <c r="C147" s="75" t="s">
        <v>116</v>
      </c>
    </row>
    <row r="148" spans="1:3" ht="16.350000000000001" customHeight="1">
      <c r="A148" s="75" t="s">
        <v>1277</v>
      </c>
      <c r="B148" s="75" t="s">
        <v>1277</v>
      </c>
      <c r="C148" s="75" t="s">
        <v>116</v>
      </c>
    </row>
    <row r="149" spans="1:3" ht="16.350000000000001" customHeight="1">
      <c r="A149" s="75" t="s">
        <v>1277</v>
      </c>
      <c r="B149" s="75" t="s">
        <v>1277</v>
      </c>
      <c r="C149" s="75" t="s">
        <v>116</v>
      </c>
    </row>
    <row r="150" spans="1:3" ht="16.350000000000001" customHeight="1">
      <c r="A150" s="75" t="s">
        <v>1278</v>
      </c>
      <c r="B150" s="75" t="s">
        <v>1278</v>
      </c>
      <c r="C150" s="75" t="s">
        <v>116</v>
      </c>
    </row>
    <row r="151" spans="1:3" ht="16.350000000000001" customHeight="1">
      <c r="A151" s="75" t="s">
        <v>2480</v>
      </c>
      <c r="B151" s="75" t="s">
        <v>2480</v>
      </c>
      <c r="C151" s="75" t="s">
        <v>116</v>
      </c>
    </row>
    <row r="152" spans="1:3" ht="16.350000000000001" customHeight="1">
      <c r="A152" s="75" t="s">
        <v>2480</v>
      </c>
      <c r="B152" s="75" t="s">
        <v>2480</v>
      </c>
      <c r="C152" s="75" t="s">
        <v>116</v>
      </c>
    </row>
    <row r="153" spans="1:3" ht="16.350000000000001" customHeight="1">
      <c r="A153" s="75" t="s">
        <v>1280</v>
      </c>
      <c r="B153" s="75" t="s">
        <v>1280</v>
      </c>
      <c r="C153" s="75" t="s">
        <v>116</v>
      </c>
    </row>
    <row r="154" spans="1:3" ht="16.350000000000001" customHeight="1">
      <c r="A154" s="75" t="s">
        <v>1280</v>
      </c>
      <c r="B154" s="75" t="s">
        <v>1280</v>
      </c>
      <c r="C154" s="75" t="s">
        <v>116</v>
      </c>
    </row>
    <row r="155" spans="1:3" ht="16.350000000000001" customHeight="1">
      <c r="A155" s="75" t="s">
        <v>1280</v>
      </c>
      <c r="B155" s="75" t="s">
        <v>1280</v>
      </c>
      <c r="C155" s="75" t="s">
        <v>116</v>
      </c>
    </row>
    <row r="156" spans="1:3" ht="16.350000000000001" customHeight="1">
      <c r="A156" s="75" t="s">
        <v>1280</v>
      </c>
      <c r="B156" s="75" t="s">
        <v>1280</v>
      </c>
      <c r="C156" s="75" t="s">
        <v>116</v>
      </c>
    </row>
    <row r="157" spans="1:3" ht="16.350000000000001" customHeight="1">
      <c r="A157" s="75" t="s">
        <v>1281</v>
      </c>
      <c r="B157" s="75" t="s">
        <v>1281</v>
      </c>
      <c r="C157" s="75" t="s">
        <v>116</v>
      </c>
    </row>
    <row r="158" spans="1:3" ht="16.350000000000001" customHeight="1">
      <c r="A158" s="75" t="s">
        <v>1281</v>
      </c>
      <c r="B158" s="75" t="s">
        <v>1281</v>
      </c>
      <c r="C158" s="75" t="s">
        <v>116</v>
      </c>
    </row>
    <row r="159" spans="1:3" ht="16.350000000000001" customHeight="1">
      <c r="A159" s="75" t="s">
        <v>1281</v>
      </c>
      <c r="B159" s="75" t="s">
        <v>1281</v>
      </c>
      <c r="C159" s="75" t="s">
        <v>116</v>
      </c>
    </row>
    <row r="160" spans="1:3" ht="16.350000000000001" customHeight="1">
      <c r="A160" s="75" t="s">
        <v>1281</v>
      </c>
      <c r="B160" s="75" t="s">
        <v>1281</v>
      </c>
      <c r="C160" s="75" t="s">
        <v>116</v>
      </c>
    </row>
    <row r="161" spans="1:3" ht="16.350000000000001" customHeight="1">
      <c r="A161" s="75" t="s">
        <v>1282</v>
      </c>
      <c r="B161" s="75" t="s">
        <v>1282</v>
      </c>
      <c r="C161" s="75" t="s">
        <v>116</v>
      </c>
    </row>
    <row r="162" spans="1:3" ht="16.350000000000001" customHeight="1">
      <c r="A162" s="75" t="s">
        <v>1282</v>
      </c>
      <c r="B162" s="75" t="s">
        <v>1282</v>
      </c>
      <c r="C162" s="75" t="s">
        <v>116</v>
      </c>
    </row>
    <row r="163" spans="1:3" ht="16.350000000000001" customHeight="1">
      <c r="A163" s="75" t="s">
        <v>1282</v>
      </c>
      <c r="B163" s="75" t="s">
        <v>1282</v>
      </c>
      <c r="C163" s="75" t="s">
        <v>116</v>
      </c>
    </row>
    <row r="164" spans="1:3" ht="16.350000000000001" customHeight="1">
      <c r="A164" s="75" t="s">
        <v>1282</v>
      </c>
      <c r="B164" s="75" t="s">
        <v>1282</v>
      </c>
      <c r="C164" s="75" t="s">
        <v>116</v>
      </c>
    </row>
    <row r="165" spans="1:3" ht="16.350000000000001" customHeight="1">
      <c r="A165" s="75" t="s">
        <v>1283</v>
      </c>
      <c r="B165" s="75" t="s">
        <v>1283</v>
      </c>
      <c r="C165" s="75" t="s">
        <v>116</v>
      </c>
    </row>
    <row r="166" spans="1:3" ht="16.350000000000001" customHeight="1">
      <c r="A166" s="75" t="s">
        <v>1283</v>
      </c>
      <c r="B166" s="75" t="s">
        <v>1283</v>
      </c>
      <c r="C166" s="75" t="s">
        <v>116</v>
      </c>
    </row>
    <row r="167" spans="1:3" ht="16.350000000000001" customHeight="1">
      <c r="A167" s="75" t="s">
        <v>1283</v>
      </c>
      <c r="B167" s="75" t="s">
        <v>1283</v>
      </c>
      <c r="C167" s="75" t="s">
        <v>116</v>
      </c>
    </row>
    <row r="168" spans="1:3" ht="16.350000000000001" customHeight="1">
      <c r="A168" s="75" t="s">
        <v>1283</v>
      </c>
      <c r="B168" s="75" t="s">
        <v>1283</v>
      </c>
      <c r="C168" s="75" t="s">
        <v>116</v>
      </c>
    </row>
    <row r="169" spans="1:3" ht="16.350000000000001" customHeight="1">
      <c r="A169" s="75" t="s">
        <v>1283</v>
      </c>
      <c r="B169" s="75" t="s">
        <v>1283</v>
      </c>
      <c r="C169" s="75" t="s">
        <v>116</v>
      </c>
    </row>
    <row r="170" spans="1:3" ht="16.350000000000001" customHeight="1">
      <c r="A170" s="75" t="s">
        <v>1284</v>
      </c>
      <c r="B170" s="75" t="s">
        <v>1284</v>
      </c>
      <c r="C170" s="75" t="s">
        <v>116</v>
      </c>
    </row>
    <row r="171" spans="1:3" ht="16.350000000000001" customHeight="1">
      <c r="A171" s="75" t="s">
        <v>1284</v>
      </c>
      <c r="B171" s="75" t="s">
        <v>1284</v>
      </c>
      <c r="C171" s="75" t="s">
        <v>116</v>
      </c>
    </row>
    <row r="172" spans="1:3" ht="16.350000000000001" customHeight="1">
      <c r="A172" s="75" t="s">
        <v>1284</v>
      </c>
      <c r="B172" s="75" t="s">
        <v>1284</v>
      </c>
      <c r="C172" s="75" t="s">
        <v>116</v>
      </c>
    </row>
    <row r="173" spans="1:3" ht="16.350000000000001" customHeight="1">
      <c r="A173" s="75" t="s">
        <v>1284</v>
      </c>
      <c r="B173" s="75" t="s">
        <v>1284</v>
      </c>
      <c r="C173" s="75" t="s">
        <v>116</v>
      </c>
    </row>
    <row r="174" spans="1:3" ht="16.350000000000001" customHeight="1">
      <c r="A174" s="75" t="s">
        <v>1284</v>
      </c>
      <c r="B174" s="75" t="s">
        <v>1284</v>
      </c>
      <c r="C174" s="75" t="s">
        <v>116</v>
      </c>
    </row>
    <row r="175" spans="1:3" ht="16.350000000000001" customHeight="1">
      <c r="A175" s="75" t="s">
        <v>1285</v>
      </c>
      <c r="B175" s="75" t="s">
        <v>1285</v>
      </c>
      <c r="C175" s="75" t="s">
        <v>116</v>
      </c>
    </row>
    <row r="176" spans="1:3" ht="16.350000000000001" customHeight="1">
      <c r="A176" s="75" t="s">
        <v>1285</v>
      </c>
      <c r="B176" s="75" t="s">
        <v>1285</v>
      </c>
      <c r="C176" s="75" t="s">
        <v>116</v>
      </c>
    </row>
    <row r="177" spans="1:3" ht="16.350000000000001" customHeight="1">
      <c r="A177" s="75" t="s">
        <v>1285</v>
      </c>
      <c r="B177" s="75" t="s">
        <v>1285</v>
      </c>
      <c r="C177" s="75" t="s">
        <v>116</v>
      </c>
    </row>
    <row r="178" spans="1:3" ht="16.350000000000001" customHeight="1">
      <c r="A178" s="75" t="s">
        <v>1285</v>
      </c>
      <c r="B178" s="75" t="s">
        <v>1285</v>
      </c>
      <c r="C178" s="75" t="s">
        <v>116</v>
      </c>
    </row>
    <row r="179" spans="1:3" ht="16.350000000000001" customHeight="1">
      <c r="A179" s="75" t="s">
        <v>1285</v>
      </c>
      <c r="B179" s="75" t="s">
        <v>1285</v>
      </c>
      <c r="C179" s="75" t="s">
        <v>116</v>
      </c>
    </row>
    <row r="180" spans="1:3" ht="16.350000000000001" customHeight="1">
      <c r="A180" s="75" t="s">
        <v>1286</v>
      </c>
      <c r="B180" s="75" t="s">
        <v>1286</v>
      </c>
      <c r="C180" s="75" t="s">
        <v>116</v>
      </c>
    </row>
    <row r="181" spans="1:3" ht="16.350000000000001" customHeight="1">
      <c r="A181" s="75" t="s">
        <v>1286</v>
      </c>
      <c r="B181" s="75" t="s">
        <v>1286</v>
      </c>
      <c r="C181" s="75" t="s">
        <v>116</v>
      </c>
    </row>
    <row r="182" spans="1:3" ht="16.350000000000001" customHeight="1">
      <c r="A182" s="75" t="s">
        <v>1287</v>
      </c>
      <c r="B182" s="75" t="s">
        <v>1287</v>
      </c>
      <c r="C182" s="75" t="s">
        <v>116</v>
      </c>
    </row>
    <row r="183" spans="1:3" ht="16.350000000000001" customHeight="1">
      <c r="A183" s="75" t="s">
        <v>1287</v>
      </c>
      <c r="B183" s="75" t="s">
        <v>1287</v>
      </c>
      <c r="C183" s="75" t="s">
        <v>116</v>
      </c>
    </row>
    <row r="184" spans="1:3" ht="16.350000000000001" customHeight="1">
      <c r="A184" s="75" t="s">
        <v>1288</v>
      </c>
      <c r="B184" s="75" t="s">
        <v>1288</v>
      </c>
      <c r="C184" s="75" t="s">
        <v>116</v>
      </c>
    </row>
    <row r="185" spans="1:3" ht="16.350000000000001" customHeight="1">
      <c r="A185" s="75" t="s">
        <v>1288</v>
      </c>
      <c r="B185" s="75" t="s">
        <v>1288</v>
      </c>
      <c r="C185" s="75" t="s">
        <v>116</v>
      </c>
    </row>
    <row r="186" spans="1:3" ht="16.350000000000001" customHeight="1">
      <c r="A186" s="75" t="s">
        <v>2481</v>
      </c>
      <c r="B186" s="75" t="s">
        <v>2481</v>
      </c>
      <c r="C186" s="75" t="s">
        <v>116</v>
      </c>
    </row>
    <row r="187" spans="1:3" ht="16.350000000000001" customHeight="1">
      <c r="A187" s="75" t="s">
        <v>2481</v>
      </c>
      <c r="B187" s="75" t="s">
        <v>2481</v>
      </c>
      <c r="C187" s="75" t="s">
        <v>116</v>
      </c>
    </row>
    <row r="188" spans="1:3" ht="16.350000000000001" customHeight="1">
      <c r="A188" s="75" t="s">
        <v>2481</v>
      </c>
      <c r="B188" s="75" t="s">
        <v>2481</v>
      </c>
      <c r="C188" s="75" t="s">
        <v>116</v>
      </c>
    </row>
    <row r="189" spans="1:3" ht="16.350000000000001" customHeight="1">
      <c r="A189" s="75" t="s">
        <v>2482</v>
      </c>
      <c r="B189" s="75" t="s">
        <v>2482</v>
      </c>
      <c r="C189" s="75" t="s">
        <v>116</v>
      </c>
    </row>
    <row r="190" spans="1:3" ht="16.350000000000001" customHeight="1">
      <c r="A190" s="75" t="s">
        <v>2482</v>
      </c>
      <c r="B190" s="75" t="s">
        <v>2482</v>
      </c>
      <c r="C190" s="75" t="s">
        <v>116</v>
      </c>
    </row>
    <row r="191" spans="1:3" ht="16.350000000000001" customHeight="1">
      <c r="A191" s="75" t="s">
        <v>2482</v>
      </c>
      <c r="B191" s="75" t="s">
        <v>2482</v>
      </c>
      <c r="C191" s="75" t="s">
        <v>116</v>
      </c>
    </row>
    <row r="192" spans="1:3" ht="16.350000000000001" customHeight="1">
      <c r="A192" s="75" t="s">
        <v>2483</v>
      </c>
      <c r="B192" s="75" t="s">
        <v>2483</v>
      </c>
      <c r="C192" s="75" t="s">
        <v>116</v>
      </c>
    </row>
    <row r="193" spans="1:3" ht="16.350000000000001" customHeight="1">
      <c r="A193" s="75" t="s">
        <v>2483</v>
      </c>
      <c r="B193" s="75" t="s">
        <v>2483</v>
      </c>
      <c r="C193" s="75" t="s">
        <v>116</v>
      </c>
    </row>
    <row r="194" spans="1:3" ht="16.350000000000001" customHeight="1">
      <c r="A194" s="75" t="s">
        <v>2483</v>
      </c>
      <c r="B194" s="75" t="s">
        <v>2483</v>
      </c>
      <c r="C194" s="75" t="s">
        <v>116</v>
      </c>
    </row>
    <row r="195" spans="1:3" ht="16.350000000000001" customHeight="1">
      <c r="A195" s="80" t="s">
        <v>1255</v>
      </c>
      <c r="B195" s="75" t="s">
        <v>1272</v>
      </c>
      <c r="C195" s="75" t="s">
        <v>76</v>
      </c>
    </row>
    <row r="196" spans="1:3" ht="16.350000000000001" customHeight="1">
      <c r="A196" s="80" t="s">
        <v>1255</v>
      </c>
      <c r="B196" s="75" t="s">
        <v>1272</v>
      </c>
      <c r="C196" s="75" t="s">
        <v>76</v>
      </c>
    </row>
    <row r="197" spans="1:3" ht="16.350000000000001" customHeight="1">
      <c r="A197" s="80" t="s">
        <v>1255</v>
      </c>
      <c r="B197" s="75" t="s">
        <v>1272</v>
      </c>
      <c r="C197" s="75" t="s">
        <v>76</v>
      </c>
    </row>
    <row r="198" spans="1:3" ht="16.350000000000001" customHeight="1">
      <c r="A198" s="80" t="s">
        <v>1255</v>
      </c>
      <c r="B198" s="75" t="s">
        <v>1272</v>
      </c>
      <c r="C198" s="75" t="s">
        <v>76</v>
      </c>
    </row>
    <row r="199" spans="1:3" ht="16.350000000000001" customHeight="1">
      <c r="A199" s="80" t="s">
        <v>1256</v>
      </c>
      <c r="B199" s="75" t="s">
        <v>1273</v>
      </c>
      <c r="C199" s="75" t="s">
        <v>76</v>
      </c>
    </row>
    <row r="200" spans="1:3" ht="16.350000000000001" customHeight="1">
      <c r="A200" s="80" t="s">
        <v>1256</v>
      </c>
      <c r="B200" s="75" t="s">
        <v>1273</v>
      </c>
      <c r="C200" s="75" t="s">
        <v>76</v>
      </c>
    </row>
    <row r="201" spans="1:3" ht="16.350000000000001" customHeight="1">
      <c r="A201" s="80" t="s">
        <v>1257</v>
      </c>
      <c r="B201" s="75" t="s">
        <v>1274</v>
      </c>
      <c r="C201" s="75" t="s">
        <v>76</v>
      </c>
    </row>
    <row r="202" spans="1:3" ht="16.350000000000001" customHeight="1">
      <c r="A202" s="80" t="s">
        <v>1257</v>
      </c>
      <c r="B202" s="75" t="s">
        <v>1274</v>
      </c>
      <c r="C202" s="75" t="s">
        <v>76</v>
      </c>
    </row>
    <row r="203" spans="1:3" ht="16.350000000000001" customHeight="1">
      <c r="A203" s="80" t="s">
        <v>1258</v>
      </c>
      <c r="B203" s="75" t="s">
        <v>1275</v>
      </c>
      <c r="C203" s="75" t="s">
        <v>76</v>
      </c>
    </row>
    <row r="204" spans="1:3" ht="16.350000000000001" customHeight="1">
      <c r="A204" s="80" t="s">
        <v>1258</v>
      </c>
      <c r="B204" s="75" t="s">
        <v>1275</v>
      </c>
      <c r="C204" s="75" t="s">
        <v>76</v>
      </c>
    </row>
    <row r="205" spans="1:3" ht="16.350000000000001" customHeight="1">
      <c r="A205" s="80" t="s">
        <v>1258</v>
      </c>
      <c r="B205" s="75" t="s">
        <v>1275</v>
      </c>
      <c r="C205" s="75" t="s">
        <v>76</v>
      </c>
    </row>
    <row r="206" spans="1:3" ht="16.350000000000001" customHeight="1">
      <c r="A206" s="80" t="s">
        <v>1258</v>
      </c>
      <c r="B206" s="75" t="s">
        <v>1275</v>
      </c>
      <c r="C206" s="75" t="s">
        <v>76</v>
      </c>
    </row>
    <row r="207" spans="1:3" ht="16.350000000000001" customHeight="1">
      <c r="A207" s="80" t="s">
        <v>1259</v>
      </c>
      <c r="B207" s="75" t="s">
        <v>1276</v>
      </c>
      <c r="C207" s="75" t="s">
        <v>76</v>
      </c>
    </row>
    <row r="208" spans="1:3" ht="16.350000000000001" customHeight="1">
      <c r="A208" s="80" t="s">
        <v>1259</v>
      </c>
      <c r="B208" s="75" t="s">
        <v>1276</v>
      </c>
      <c r="C208" s="75" t="s">
        <v>76</v>
      </c>
    </row>
    <row r="209" spans="1:3" ht="16.350000000000001" customHeight="1">
      <c r="A209" s="80" t="s">
        <v>1259</v>
      </c>
      <c r="B209" s="75" t="s">
        <v>1276</v>
      </c>
      <c r="C209" s="75" t="s">
        <v>76</v>
      </c>
    </row>
    <row r="210" spans="1:3" ht="16.350000000000001" customHeight="1">
      <c r="A210" s="80" t="s">
        <v>1260</v>
      </c>
      <c r="B210" s="75" t="s">
        <v>1277</v>
      </c>
      <c r="C210" s="75" t="s">
        <v>76</v>
      </c>
    </row>
    <row r="211" spans="1:3" ht="16.350000000000001" customHeight="1">
      <c r="A211" s="80" t="s">
        <v>1260</v>
      </c>
      <c r="B211" s="75" t="s">
        <v>1277</v>
      </c>
      <c r="C211" s="75" t="s">
        <v>76</v>
      </c>
    </row>
    <row r="212" spans="1:3" ht="16.350000000000001" customHeight="1">
      <c r="A212" s="80" t="s">
        <v>1260</v>
      </c>
      <c r="B212" s="75" t="s">
        <v>1277</v>
      </c>
      <c r="C212" s="75" t="s">
        <v>76</v>
      </c>
    </row>
    <row r="213" spans="1:3" ht="16.350000000000001" customHeight="1">
      <c r="A213" s="80" t="s">
        <v>1261</v>
      </c>
      <c r="B213" s="75" t="s">
        <v>1278</v>
      </c>
      <c r="C213" s="75" t="s">
        <v>76</v>
      </c>
    </row>
    <row r="214" spans="1:3" ht="16.350000000000001" customHeight="1">
      <c r="A214" s="80" t="s">
        <v>1262</v>
      </c>
      <c r="B214" s="75" t="s">
        <v>1279</v>
      </c>
      <c r="C214" s="75" t="s">
        <v>76</v>
      </c>
    </row>
    <row r="215" spans="1:3" ht="16.350000000000001" customHeight="1">
      <c r="A215" s="80" t="s">
        <v>1262</v>
      </c>
      <c r="B215" s="75" t="s">
        <v>1279</v>
      </c>
      <c r="C215" s="75" t="s">
        <v>76</v>
      </c>
    </row>
    <row r="216" spans="1:3" ht="16.350000000000001" customHeight="1">
      <c r="A216" s="80" t="s">
        <v>1263</v>
      </c>
      <c r="B216" s="75" t="s">
        <v>1280</v>
      </c>
      <c r="C216" s="75" t="s">
        <v>76</v>
      </c>
    </row>
    <row r="217" spans="1:3" ht="16.350000000000001" customHeight="1">
      <c r="A217" s="80" t="s">
        <v>1263</v>
      </c>
      <c r="B217" s="75" t="s">
        <v>1280</v>
      </c>
      <c r="C217" s="75" t="s">
        <v>76</v>
      </c>
    </row>
    <row r="218" spans="1:3" ht="16.350000000000001" customHeight="1">
      <c r="A218" s="80" t="s">
        <v>1263</v>
      </c>
      <c r="B218" s="75" t="s">
        <v>1280</v>
      </c>
      <c r="C218" s="75" t="s">
        <v>76</v>
      </c>
    </row>
    <row r="219" spans="1:3" ht="16.350000000000001" customHeight="1">
      <c r="A219" s="80" t="s">
        <v>1263</v>
      </c>
      <c r="B219" s="75" t="s">
        <v>1280</v>
      </c>
      <c r="C219" s="75" t="s">
        <v>76</v>
      </c>
    </row>
    <row r="220" spans="1:3" ht="16.350000000000001" customHeight="1">
      <c r="A220" s="80" t="s">
        <v>1264</v>
      </c>
      <c r="B220" s="75" t="s">
        <v>1281</v>
      </c>
      <c r="C220" s="75" t="s">
        <v>76</v>
      </c>
    </row>
    <row r="221" spans="1:3" ht="16.350000000000001" customHeight="1">
      <c r="A221" s="80" t="s">
        <v>1264</v>
      </c>
      <c r="B221" s="75" t="s">
        <v>1281</v>
      </c>
      <c r="C221" s="75" t="s">
        <v>76</v>
      </c>
    </row>
    <row r="222" spans="1:3" ht="16.350000000000001" customHeight="1">
      <c r="A222" s="80" t="s">
        <v>1264</v>
      </c>
      <c r="B222" s="75" t="s">
        <v>1281</v>
      </c>
      <c r="C222" s="75" t="s">
        <v>76</v>
      </c>
    </row>
    <row r="223" spans="1:3" ht="16.350000000000001" customHeight="1">
      <c r="A223" s="80" t="s">
        <v>1264</v>
      </c>
      <c r="B223" s="75" t="s">
        <v>1281</v>
      </c>
      <c r="C223" s="75" t="s">
        <v>76</v>
      </c>
    </row>
    <row r="224" spans="1:3" ht="16.350000000000001" customHeight="1">
      <c r="A224" s="80" t="s">
        <v>1265</v>
      </c>
      <c r="B224" s="75" t="s">
        <v>1282</v>
      </c>
      <c r="C224" s="75" t="s">
        <v>76</v>
      </c>
    </row>
    <row r="225" spans="1:3" ht="16.350000000000001" customHeight="1">
      <c r="A225" s="80" t="s">
        <v>1265</v>
      </c>
      <c r="B225" s="75" t="s">
        <v>1282</v>
      </c>
      <c r="C225" s="75" t="s">
        <v>76</v>
      </c>
    </row>
    <row r="226" spans="1:3" ht="16.350000000000001" customHeight="1">
      <c r="A226" s="80" t="s">
        <v>1265</v>
      </c>
      <c r="B226" s="75" t="s">
        <v>1282</v>
      </c>
      <c r="C226" s="75" t="s">
        <v>76</v>
      </c>
    </row>
    <row r="227" spans="1:3" ht="16.350000000000001" customHeight="1">
      <c r="A227" s="80" t="s">
        <v>1265</v>
      </c>
      <c r="B227" s="75" t="s">
        <v>1282</v>
      </c>
      <c r="C227" s="75" t="s">
        <v>76</v>
      </c>
    </row>
    <row r="228" spans="1:3" ht="16.350000000000001" customHeight="1">
      <c r="A228" s="80" t="s">
        <v>1266</v>
      </c>
      <c r="B228" s="75" t="s">
        <v>1283</v>
      </c>
      <c r="C228" s="75" t="s">
        <v>76</v>
      </c>
    </row>
    <row r="229" spans="1:3" ht="16.350000000000001" customHeight="1">
      <c r="A229" s="80" t="s">
        <v>1266</v>
      </c>
      <c r="B229" s="75" t="s">
        <v>1283</v>
      </c>
      <c r="C229" s="75" t="s">
        <v>76</v>
      </c>
    </row>
    <row r="230" spans="1:3" ht="16.350000000000001" customHeight="1">
      <c r="A230" s="80" t="s">
        <v>1266</v>
      </c>
      <c r="B230" s="75" t="s">
        <v>1283</v>
      </c>
      <c r="C230" s="75" t="s">
        <v>76</v>
      </c>
    </row>
    <row r="231" spans="1:3" ht="16.350000000000001" customHeight="1">
      <c r="A231" s="80" t="s">
        <v>1266</v>
      </c>
      <c r="B231" s="75" t="s">
        <v>1283</v>
      </c>
      <c r="C231" s="75" t="s">
        <v>76</v>
      </c>
    </row>
    <row r="232" spans="1:3" ht="16.350000000000001" customHeight="1">
      <c r="A232" s="80" t="s">
        <v>1266</v>
      </c>
      <c r="B232" s="75" t="s">
        <v>1283</v>
      </c>
      <c r="C232" s="75" t="s">
        <v>76</v>
      </c>
    </row>
    <row r="233" spans="1:3" ht="16.350000000000001" customHeight="1">
      <c r="A233" s="80" t="s">
        <v>1267</v>
      </c>
      <c r="B233" s="75" t="s">
        <v>1284</v>
      </c>
      <c r="C233" s="75" t="s">
        <v>76</v>
      </c>
    </row>
    <row r="234" spans="1:3" ht="16.350000000000001" customHeight="1">
      <c r="A234" s="80" t="s">
        <v>1267</v>
      </c>
      <c r="B234" s="75" t="s">
        <v>1284</v>
      </c>
      <c r="C234" s="75" t="s">
        <v>76</v>
      </c>
    </row>
    <row r="235" spans="1:3" ht="16.350000000000001" customHeight="1">
      <c r="A235" s="80" t="s">
        <v>1267</v>
      </c>
      <c r="B235" s="75" t="s">
        <v>1284</v>
      </c>
      <c r="C235" s="75" t="s">
        <v>76</v>
      </c>
    </row>
    <row r="236" spans="1:3" ht="16.350000000000001" customHeight="1">
      <c r="A236" s="80" t="s">
        <v>1267</v>
      </c>
      <c r="B236" s="75" t="s">
        <v>1284</v>
      </c>
      <c r="C236" s="75" t="s">
        <v>76</v>
      </c>
    </row>
    <row r="237" spans="1:3" ht="16.350000000000001" customHeight="1">
      <c r="A237" s="80" t="s">
        <v>1267</v>
      </c>
      <c r="B237" s="75" t="s">
        <v>1284</v>
      </c>
      <c r="C237" s="75" t="s">
        <v>76</v>
      </c>
    </row>
    <row r="238" spans="1:3" ht="16.350000000000001" customHeight="1">
      <c r="A238" s="80" t="s">
        <v>1268</v>
      </c>
      <c r="B238" s="75" t="s">
        <v>1285</v>
      </c>
      <c r="C238" s="75" t="s">
        <v>76</v>
      </c>
    </row>
    <row r="239" spans="1:3" ht="16.350000000000001" customHeight="1">
      <c r="A239" s="80" t="s">
        <v>1268</v>
      </c>
      <c r="B239" s="75" t="s">
        <v>1285</v>
      </c>
      <c r="C239" s="75" t="s">
        <v>76</v>
      </c>
    </row>
    <row r="240" spans="1:3" ht="16.350000000000001" customHeight="1">
      <c r="A240" s="80" t="s">
        <v>1268</v>
      </c>
      <c r="B240" s="75" t="s">
        <v>1285</v>
      </c>
      <c r="C240" s="75" t="s">
        <v>76</v>
      </c>
    </row>
    <row r="241" spans="1:3" ht="16.350000000000001" customHeight="1">
      <c r="A241" s="80" t="s">
        <v>1268</v>
      </c>
      <c r="B241" s="75" t="s">
        <v>1285</v>
      </c>
      <c r="C241" s="75" t="s">
        <v>76</v>
      </c>
    </row>
    <row r="242" spans="1:3" ht="16.350000000000001" customHeight="1">
      <c r="A242" s="80" t="s">
        <v>1268</v>
      </c>
      <c r="B242" s="75" t="s">
        <v>1285</v>
      </c>
      <c r="C242" s="75" t="s">
        <v>76</v>
      </c>
    </row>
    <row r="243" spans="1:3" ht="16.350000000000001" customHeight="1">
      <c r="A243" s="80" t="s">
        <v>1269</v>
      </c>
      <c r="B243" s="75" t="s">
        <v>1286</v>
      </c>
      <c r="C243" s="75" t="s">
        <v>76</v>
      </c>
    </row>
    <row r="244" spans="1:3" ht="16.350000000000001" customHeight="1">
      <c r="A244" s="80" t="s">
        <v>1269</v>
      </c>
      <c r="B244" s="75" t="s">
        <v>1286</v>
      </c>
      <c r="C244" s="75" t="s">
        <v>76</v>
      </c>
    </row>
    <row r="245" spans="1:3" ht="16.350000000000001" customHeight="1">
      <c r="A245" s="80" t="s">
        <v>1270</v>
      </c>
      <c r="B245" s="75" t="s">
        <v>1287</v>
      </c>
      <c r="C245" s="75" t="s">
        <v>76</v>
      </c>
    </row>
    <row r="246" spans="1:3" ht="16.350000000000001" customHeight="1">
      <c r="A246" s="80" t="s">
        <v>1270</v>
      </c>
      <c r="B246" s="75" t="s">
        <v>1287</v>
      </c>
      <c r="C246" s="75" t="s">
        <v>76</v>
      </c>
    </row>
    <row r="247" spans="1:3" ht="16.350000000000001" customHeight="1">
      <c r="A247" s="80" t="s">
        <v>1271</v>
      </c>
      <c r="B247" s="75" t="s">
        <v>1288</v>
      </c>
      <c r="C247" s="75" t="s">
        <v>76</v>
      </c>
    </row>
    <row r="248" spans="1:3" ht="16.350000000000001" customHeight="1">
      <c r="A248" s="80" t="s">
        <v>1271</v>
      </c>
      <c r="B248" s="75" t="s">
        <v>1288</v>
      </c>
      <c r="C248" s="75" t="s">
        <v>76</v>
      </c>
    </row>
    <row r="249" spans="1:3" ht="16.350000000000001" customHeight="1">
      <c r="A249" s="80" t="s">
        <v>2484</v>
      </c>
      <c r="B249" s="75" t="s">
        <v>2481</v>
      </c>
      <c r="C249" s="75" t="s">
        <v>76</v>
      </c>
    </row>
    <row r="250" spans="1:3" ht="16.350000000000001" customHeight="1">
      <c r="A250" s="80" t="s">
        <v>2484</v>
      </c>
      <c r="B250" s="75" t="s">
        <v>2481</v>
      </c>
      <c r="C250" s="75" t="s">
        <v>76</v>
      </c>
    </row>
    <row r="251" spans="1:3" ht="16.350000000000001" customHeight="1">
      <c r="A251" s="80" t="s">
        <v>2484</v>
      </c>
      <c r="B251" s="75" t="s">
        <v>2481</v>
      </c>
      <c r="C251" s="75" t="s">
        <v>76</v>
      </c>
    </row>
    <row r="252" spans="1:3" ht="16.350000000000001" customHeight="1">
      <c r="A252" s="80" t="s">
        <v>2485</v>
      </c>
      <c r="B252" s="75" t="s">
        <v>2482</v>
      </c>
      <c r="C252" s="75" t="s">
        <v>76</v>
      </c>
    </row>
    <row r="253" spans="1:3" ht="16.350000000000001" customHeight="1">
      <c r="A253" s="80" t="s">
        <v>2485</v>
      </c>
      <c r="B253" s="75" t="s">
        <v>2482</v>
      </c>
      <c r="C253" s="75" t="s">
        <v>76</v>
      </c>
    </row>
    <row r="254" spans="1:3" ht="16.350000000000001" customHeight="1">
      <c r="A254" s="80" t="s">
        <v>2485</v>
      </c>
      <c r="B254" s="75" t="s">
        <v>2482</v>
      </c>
      <c r="C254" s="75" t="s">
        <v>76</v>
      </c>
    </row>
    <row r="255" spans="1:3" ht="16.350000000000001" customHeight="1">
      <c r="A255" s="80" t="s">
        <v>2486</v>
      </c>
      <c r="B255" s="75" t="s">
        <v>2483</v>
      </c>
      <c r="C255" s="75" t="s">
        <v>76</v>
      </c>
    </row>
    <row r="256" spans="1:3" ht="16.350000000000001" customHeight="1">
      <c r="A256" s="80" t="s">
        <v>2486</v>
      </c>
      <c r="B256" s="75" t="s">
        <v>2483</v>
      </c>
      <c r="C256" s="75" t="s">
        <v>76</v>
      </c>
    </row>
    <row r="257" spans="1:4" ht="16.350000000000001" customHeight="1">
      <c r="A257" s="80" t="s">
        <v>2486</v>
      </c>
      <c r="B257" s="75" t="s">
        <v>2483</v>
      </c>
      <c r="C257" s="75" t="s">
        <v>76</v>
      </c>
    </row>
    <row r="258" spans="1:4" ht="16.350000000000001" customHeight="1">
      <c r="A258" s="75" t="s">
        <v>1299</v>
      </c>
      <c r="B258" s="75" t="s">
        <v>1272</v>
      </c>
      <c r="C258" s="75" t="s">
        <v>77</v>
      </c>
      <c r="D258" s="75" t="s">
        <v>1363</v>
      </c>
    </row>
    <row r="259" spans="1:4" ht="16.350000000000001" customHeight="1">
      <c r="A259" s="75" t="s">
        <v>1299</v>
      </c>
      <c r="B259" s="75" t="s">
        <v>1272</v>
      </c>
      <c r="C259" s="75" t="s">
        <v>77</v>
      </c>
      <c r="D259" s="75" t="s">
        <v>1364</v>
      </c>
    </row>
    <row r="260" spans="1:4" ht="16.350000000000001" customHeight="1">
      <c r="A260" s="75" t="s">
        <v>1299</v>
      </c>
      <c r="B260" s="75" t="s">
        <v>1272</v>
      </c>
      <c r="C260" s="75" t="s">
        <v>77</v>
      </c>
    </row>
    <row r="261" spans="1:4" ht="16.350000000000001" customHeight="1">
      <c r="A261" s="75" t="s">
        <v>1299</v>
      </c>
      <c r="B261" s="75" t="s">
        <v>1272</v>
      </c>
      <c r="C261" s="75" t="s">
        <v>77</v>
      </c>
    </row>
    <row r="262" spans="1:4" ht="16.350000000000001" customHeight="1">
      <c r="A262" s="75" t="s">
        <v>2326</v>
      </c>
      <c r="B262" s="75" t="s">
        <v>1273</v>
      </c>
      <c r="C262" s="75" t="s">
        <v>77</v>
      </c>
    </row>
    <row r="263" spans="1:4" ht="16.350000000000001" customHeight="1">
      <c r="A263" s="75" t="s">
        <v>2326</v>
      </c>
      <c r="B263" s="75" t="s">
        <v>1273</v>
      </c>
      <c r="C263" s="75" t="s">
        <v>77</v>
      </c>
    </row>
    <row r="264" spans="1:4" ht="16.350000000000001" customHeight="1">
      <c r="A264" s="75" t="s">
        <v>2331</v>
      </c>
      <c r="B264" s="75" t="s">
        <v>1274</v>
      </c>
      <c r="C264" s="75" t="s">
        <v>77</v>
      </c>
    </row>
    <row r="265" spans="1:4" ht="16.350000000000001" customHeight="1">
      <c r="A265" s="75" t="s">
        <v>2331</v>
      </c>
      <c r="B265" s="75" t="s">
        <v>1274</v>
      </c>
      <c r="C265" s="75" t="s">
        <v>77</v>
      </c>
    </row>
    <row r="266" spans="1:4" ht="16.350000000000001" customHeight="1">
      <c r="A266" s="75" t="s">
        <v>1300</v>
      </c>
      <c r="B266" s="75" t="s">
        <v>1275</v>
      </c>
      <c r="C266" s="75" t="s">
        <v>77</v>
      </c>
    </row>
    <row r="267" spans="1:4" ht="16.350000000000001" customHeight="1">
      <c r="A267" s="75" t="s">
        <v>1300</v>
      </c>
      <c r="B267" s="75" t="s">
        <v>1275</v>
      </c>
      <c r="C267" s="75" t="s">
        <v>77</v>
      </c>
    </row>
    <row r="268" spans="1:4" ht="16.350000000000001" customHeight="1">
      <c r="A268" s="75" t="s">
        <v>1300</v>
      </c>
      <c r="B268" s="75" t="s">
        <v>1275</v>
      </c>
      <c r="C268" s="75" t="s">
        <v>77</v>
      </c>
    </row>
    <row r="269" spans="1:4" ht="16.350000000000001" customHeight="1">
      <c r="A269" s="75" t="s">
        <v>1300</v>
      </c>
      <c r="B269" s="75" t="s">
        <v>1275</v>
      </c>
      <c r="C269" s="75" t="s">
        <v>77</v>
      </c>
    </row>
    <row r="270" spans="1:4" ht="16.350000000000001" customHeight="1">
      <c r="A270" s="75" t="s">
        <v>2327</v>
      </c>
      <c r="B270" s="75" t="s">
        <v>1276</v>
      </c>
      <c r="C270" s="75" t="s">
        <v>77</v>
      </c>
    </row>
    <row r="271" spans="1:4" ht="16.350000000000001" customHeight="1">
      <c r="A271" s="75" t="s">
        <v>2327</v>
      </c>
      <c r="B271" s="75" t="s">
        <v>1276</v>
      </c>
      <c r="C271" s="75" t="s">
        <v>77</v>
      </c>
    </row>
    <row r="272" spans="1:4" ht="16.350000000000001" customHeight="1">
      <c r="A272" s="75" t="s">
        <v>2327</v>
      </c>
      <c r="B272" s="75" t="s">
        <v>1276</v>
      </c>
      <c r="C272" s="75" t="s">
        <v>77</v>
      </c>
    </row>
    <row r="273" spans="1:3" ht="16.350000000000001" customHeight="1">
      <c r="A273" s="75" t="s">
        <v>2332</v>
      </c>
      <c r="B273" s="75" t="s">
        <v>1277</v>
      </c>
      <c r="C273" s="75" t="s">
        <v>77</v>
      </c>
    </row>
    <row r="274" spans="1:3" ht="16.350000000000001" customHeight="1">
      <c r="A274" s="75" t="s">
        <v>2332</v>
      </c>
      <c r="B274" s="75" t="s">
        <v>1277</v>
      </c>
      <c r="C274" s="75" t="s">
        <v>77</v>
      </c>
    </row>
    <row r="275" spans="1:3" ht="16.350000000000001" customHeight="1">
      <c r="A275" s="75" t="s">
        <v>2332</v>
      </c>
      <c r="B275" s="75" t="s">
        <v>1277</v>
      </c>
      <c r="C275" s="75" t="s">
        <v>77</v>
      </c>
    </row>
    <row r="276" spans="1:3" ht="16.350000000000001" customHeight="1">
      <c r="A276" s="75" t="s">
        <v>1301</v>
      </c>
      <c r="B276" s="75" t="s">
        <v>1278</v>
      </c>
      <c r="C276" s="75" t="s">
        <v>77</v>
      </c>
    </row>
    <row r="277" spans="1:3" ht="16.350000000000001" customHeight="1">
      <c r="A277" s="75" t="s">
        <v>2487</v>
      </c>
      <c r="B277" s="75" t="s">
        <v>2480</v>
      </c>
      <c r="C277" s="75" t="s">
        <v>77</v>
      </c>
    </row>
    <row r="278" spans="1:3" ht="16.350000000000001" customHeight="1">
      <c r="A278" s="75" t="s">
        <v>2487</v>
      </c>
      <c r="B278" s="75" t="s">
        <v>2480</v>
      </c>
      <c r="C278" s="75" t="s">
        <v>77</v>
      </c>
    </row>
    <row r="279" spans="1:3" ht="16.350000000000001" customHeight="1">
      <c r="A279" s="75" t="s">
        <v>1302</v>
      </c>
      <c r="B279" s="75" t="s">
        <v>1280</v>
      </c>
      <c r="C279" s="75" t="s">
        <v>77</v>
      </c>
    </row>
    <row r="280" spans="1:3" ht="16.350000000000001" customHeight="1">
      <c r="A280" s="75" t="s">
        <v>1302</v>
      </c>
      <c r="B280" s="75" t="s">
        <v>1280</v>
      </c>
      <c r="C280" s="75" t="s">
        <v>77</v>
      </c>
    </row>
    <row r="281" spans="1:3" ht="16.350000000000001" customHeight="1">
      <c r="A281" s="75" t="s">
        <v>1302</v>
      </c>
      <c r="B281" s="75" t="s">
        <v>1280</v>
      </c>
      <c r="C281" s="75" t="s">
        <v>77</v>
      </c>
    </row>
    <row r="282" spans="1:3" ht="16.350000000000001" customHeight="1">
      <c r="A282" s="75" t="s">
        <v>1302</v>
      </c>
      <c r="B282" s="75" t="s">
        <v>1280</v>
      </c>
      <c r="C282" s="75" t="s">
        <v>77</v>
      </c>
    </row>
    <row r="283" spans="1:3" ht="16.350000000000001" customHeight="1">
      <c r="A283" s="75" t="s">
        <v>2328</v>
      </c>
      <c r="B283" s="75" t="s">
        <v>1281</v>
      </c>
      <c r="C283" s="75" t="s">
        <v>77</v>
      </c>
    </row>
    <row r="284" spans="1:3" ht="16.350000000000001" customHeight="1">
      <c r="A284" s="75" t="s">
        <v>2328</v>
      </c>
      <c r="B284" s="75" t="s">
        <v>1281</v>
      </c>
      <c r="C284" s="75" t="s">
        <v>77</v>
      </c>
    </row>
    <row r="285" spans="1:3" ht="16.350000000000001" customHeight="1">
      <c r="A285" s="75" t="s">
        <v>2328</v>
      </c>
      <c r="B285" s="75" t="s">
        <v>1281</v>
      </c>
      <c r="C285" s="75" t="s">
        <v>77</v>
      </c>
    </row>
    <row r="286" spans="1:3" ht="16.350000000000001" customHeight="1">
      <c r="A286" s="75" t="s">
        <v>2328</v>
      </c>
      <c r="B286" s="75" t="s">
        <v>1281</v>
      </c>
      <c r="C286" s="75" t="s">
        <v>77</v>
      </c>
    </row>
    <row r="287" spans="1:3" ht="16.350000000000001" customHeight="1">
      <c r="A287" s="75" t="s">
        <v>2333</v>
      </c>
      <c r="B287" s="75" t="s">
        <v>1282</v>
      </c>
      <c r="C287" s="75" t="s">
        <v>77</v>
      </c>
    </row>
    <row r="288" spans="1:3" ht="16.350000000000001" customHeight="1">
      <c r="A288" s="75" t="s">
        <v>2333</v>
      </c>
      <c r="B288" s="75" t="s">
        <v>1282</v>
      </c>
      <c r="C288" s="75" t="s">
        <v>77</v>
      </c>
    </row>
    <row r="289" spans="1:3" ht="16.350000000000001" customHeight="1">
      <c r="A289" s="75" t="s">
        <v>2333</v>
      </c>
      <c r="B289" s="75" t="s">
        <v>1282</v>
      </c>
      <c r="C289" s="75" t="s">
        <v>77</v>
      </c>
    </row>
    <row r="290" spans="1:3" ht="16.350000000000001" customHeight="1">
      <c r="A290" s="75" t="s">
        <v>2333</v>
      </c>
      <c r="B290" s="75" t="s">
        <v>1282</v>
      </c>
      <c r="C290" s="75" t="s">
        <v>77</v>
      </c>
    </row>
    <row r="291" spans="1:3" ht="16.350000000000001" customHeight="1">
      <c r="A291" s="75" t="s">
        <v>1303</v>
      </c>
      <c r="B291" s="75" t="s">
        <v>1283</v>
      </c>
      <c r="C291" s="75" t="s">
        <v>77</v>
      </c>
    </row>
    <row r="292" spans="1:3" ht="16.350000000000001" customHeight="1">
      <c r="A292" s="75" t="s">
        <v>1303</v>
      </c>
      <c r="B292" s="75" t="s">
        <v>1283</v>
      </c>
      <c r="C292" s="75" t="s">
        <v>77</v>
      </c>
    </row>
    <row r="293" spans="1:3" ht="16.350000000000001" customHeight="1">
      <c r="A293" s="75" t="s">
        <v>1303</v>
      </c>
      <c r="B293" s="75" t="s">
        <v>1283</v>
      </c>
      <c r="C293" s="75" t="s">
        <v>77</v>
      </c>
    </row>
    <row r="294" spans="1:3" ht="16.350000000000001" customHeight="1">
      <c r="A294" s="75" t="s">
        <v>1303</v>
      </c>
      <c r="B294" s="75" t="s">
        <v>1283</v>
      </c>
      <c r="C294" s="75" t="s">
        <v>77</v>
      </c>
    </row>
    <row r="295" spans="1:3" ht="16.350000000000001" customHeight="1">
      <c r="A295" s="75" t="s">
        <v>1303</v>
      </c>
      <c r="B295" s="75" t="s">
        <v>1283</v>
      </c>
      <c r="C295" s="75" t="s">
        <v>77</v>
      </c>
    </row>
    <row r="296" spans="1:3" ht="16.350000000000001" customHeight="1">
      <c r="A296" s="75" t="s">
        <v>2329</v>
      </c>
      <c r="B296" s="75" t="s">
        <v>1284</v>
      </c>
      <c r="C296" s="75" t="s">
        <v>77</v>
      </c>
    </row>
    <row r="297" spans="1:3" ht="16.350000000000001" customHeight="1">
      <c r="A297" s="75" t="s">
        <v>2329</v>
      </c>
      <c r="B297" s="75" t="s">
        <v>1284</v>
      </c>
      <c r="C297" s="75" t="s">
        <v>77</v>
      </c>
    </row>
    <row r="298" spans="1:3" ht="16.350000000000001" customHeight="1">
      <c r="A298" s="75" t="s">
        <v>2329</v>
      </c>
      <c r="B298" s="75" t="s">
        <v>1284</v>
      </c>
      <c r="C298" s="75" t="s">
        <v>77</v>
      </c>
    </row>
    <row r="299" spans="1:3" ht="16.350000000000001" customHeight="1">
      <c r="A299" s="75" t="s">
        <v>2329</v>
      </c>
      <c r="B299" s="75" t="s">
        <v>1284</v>
      </c>
      <c r="C299" s="75" t="s">
        <v>77</v>
      </c>
    </row>
    <row r="300" spans="1:3" ht="16.350000000000001" customHeight="1">
      <c r="A300" s="75" t="s">
        <v>2329</v>
      </c>
      <c r="B300" s="75" t="s">
        <v>1284</v>
      </c>
      <c r="C300" s="75" t="s">
        <v>77</v>
      </c>
    </row>
    <row r="301" spans="1:3" ht="16.350000000000001" customHeight="1">
      <c r="A301" s="75" t="s">
        <v>2334</v>
      </c>
      <c r="B301" s="75" t="s">
        <v>1285</v>
      </c>
      <c r="C301" s="75" t="s">
        <v>77</v>
      </c>
    </row>
    <row r="302" spans="1:3" ht="16.350000000000001" customHeight="1">
      <c r="A302" s="75" t="s">
        <v>2334</v>
      </c>
      <c r="B302" s="75" t="s">
        <v>1285</v>
      </c>
      <c r="C302" s="75" t="s">
        <v>77</v>
      </c>
    </row>
    <row r="303" spans="1:3" ht="16.350000000000001" customHeight="1">
      <c r="A303" s="75" t="s">
        <v>2334</v>
      </c>
      <c r="B303" s="75" t="s">
        <v>1285</v>
      </c>
      <c r="C303" s="75" t="s">
        <v>77</v>
      </c>
    </row>
    <row r="304" spans="1:3" ht="16.350000000000001" customHeight="1">
      <c r="A304" s="75" t="s">
        <v>2334</v>
      </c>
      <c r="B304" s="75" t="s">
        <v>1285</v>
      </c>
      <c r="C304" s="75" t="s">
        <v>77</v>
      </c>
    </row>
    <row r="305" spans="1:3" ht="16.350000000000001" customHeight="1">
      <c r="A305" s="75" t="s">
        <v>2334</v>
      </c>
      <c r="B305" s="75" t="s">
        <v>1285</v>
      </c>
      <c r="C305" s="75" t="s">
        <v>77</v>
      </c>
    </row>
    <row r="306" spans="1:3" ht="16.350000000000001" customHeight="1">
      <c r="A306" s="75" t="s">
        <v>1304</v>
      </c>
      <c r="B306" s="75" t="s">
        <v>1286</v>
      </c>
      <c r="C306" s="75" t="s">
        <v>77</v>
      </c>
    </row>
    <row r="307" spans="1:3" ht="16.350000000000001" customHeight="1">
      <c r="A307" s="75" t="s">
        <v>1304</v>
      </c>
      <c r="B307" s="75" t="s">
        <v>1286</v>
      </c>
      <c r="C307" s="75" t="s">
        <v>77</v>
      </c>
    </row>
    <row r="308" spans="1:3" ht="16.350000000000001" customHeight="1">
      <c r="A308" s="75" t="s">
        <v>2330</v>
      </c>
      <c r="B308" s="75" t="s">
        <v>1287</v>
      </c>
      <c r="C308" s="75" t="s">
        <v>77</v>
      </c>
    </row>
    <row r="309" spans="1:3" ht="16.350000000000001" customHeight="1">
      <c r="A309" s="75" t="s">
        <v>2330</v>
      </c>
      <c r="B309" s="75" t="s">
        <v>1287</v>
      </c>
      <c r="C309" s="75" t="s">
        <v>77</v>
      </c>
    </row>
    <row r="310" spans="1:3" ht="16.350000000000001" customHeight="1">
      <c r="A310" s="75" t="s">
        <v>2335</v>
      </c>
      <c r="B310" s="75" t="s">
        <v>1288</v>
      </c>
      <c r="C310" s="75" t="s">
        <v>77</v>
      </c>
    </row>
    <row r="311" spans="1:3" ht="16.350000000000001" customHeight="1">
      <c r="A311" s="75" t="s">
        <v>2335</v>
      </c>
      <c r="B311" s="75" t="s">
        <v>1288</v>
      </c>
      <c r="C311" s="75" t="s">
        <v>77</v>
      </c>
    </row>
    <row r="312" spans="1:3" ht="16.350000000000001" customHeight="1">
      <c r="A312" s="75" t="s">
        <v>2488</v>
      </c>
      <c r="B312" s="75" t="s">
        <v>2481</v>
      </c>
      <c r="C312" s="75" t="s">
        <v>77</v>
      </c>
    </row>
    <row r="313" spans="1:3" ht="16.350000000000001" customHeight="1">
      <c r="A313" s="75" t="s">
        <v>2488</v>
      </c>
      <c r="B313" s="75" t="s">
        <v>2481</v>
      </c>
      <c r="C313" s="75" t="s">
        <v>77</v>
      </c>
    </row>
    <row r="314" spans="1:3" ht="16.350000000000001" customHeight="1">
      <c r="A314" s="75" t="s">
        <v>2488</v>
      </c>
      <c r="B314" s="75" t="s">
        <v>2481</v>
      </c>
      <c r="C314" s="75" t="s">
        <v>77</v>
      </c>
    </row>
    <row r="315" spans="1:3" ht="16.350000000000001" customHeight="1">
      <c r="A315" s="75" t="s">
        <v>2489</v>
      </c>
      <c r="B315" s="75" t="s">
        <v>2482</v>
      </c>
      <c r="C315" s="75" t="s">
        <v>77</v>
      </c>
    </row>
    <row r="316" spans="1:3" ht="16.350000000000001" customHeight="1">
      <c r="A316" s="75" t="s">
        <v>2489</v>
      </c>
      <c r="B316" s="75" t="s">
        <v>2482</v>
      </c>
      <c r="C316" s="75" t="s">
        <v>77</v>
      </c>
    </row>
    <row r="317" spans="1:3" ht="16.350000000000001" customHeight="1">
      <c r="A317" s="75" t="s">
        <v>2489</v>
      </c>
      <c r="B317" s="75" t="s">
        <v>2482</v>
      </c>
      <c r="C317" s="75" t="s">
        <v>77</v>
      </c>
    </row>
    <row r="318" spans="1:3" ht="16.350000000000001" customHeight="1">
      <c r="A318" s="75" t="s">
        <v>2490</v>
      </c>
      <c r="B318" s="75" t="s">
        <v>2483</v>
      </c>
      <c r="C318" s="75" t="s">
        <v>77</v>
      </c>
    </row>
    <row r="319" spans="1:3" ht="16.350000000000001" customHeight="1">
      <c r="A319" s="75" t="s">
        <v>2490</v>
      </c>
      <c r="B319" s="75" t="s">
        <v>2483</v>
      </c>
      <c r="C319" s="75" t="s">
        <v>77</v>
      </c>
    </row>
    <row r="320" spans="1:3" ht="16.350000000000001" customHeight="1">
      <c r="A320" s="75" t="s">
        <v>2490</v>
      </c>
      <c r="B320" s="75" t="s">
        <v>2483</v>
      </c>
      <c r="C320" s="75" t="s">
        <v>77</v>
      </c>
    </row>
    <row r="321" spans="1:3" ht="16.350000000000001" customHeight="1">
      <c r="A321" s="75" t="s">
        <v>1700</v>
      </c>
      <c r="B321" s="75" t="s">
        <v>1272</v>
      </c>
      <c r="C321" s="75" t="s">
        <v>1699</v>
      </c>
    </row>
    <row r="322" spans="1:3" ht="16.350000000000001" customHeight="1">
      <c r="A322" s="75" t="s">
        <v>1700</v>
      </c>
      <c r="B322" s="75" t="s">
        <v>1272</v>
      </c>
      <c r="C322" s="75" t="s">
        <v>1699</v>
      </c>
    </row>
    <row r="323" spans="1:3" ht="16.350000000000001" customHeight="1">
      <c r="A323" s="75" t="s">
        <v>1700</v>
      </c>
      <c r="B323" s="75" t="s">
        <v>1272</v>
      </c>
      <c r="C323" s="75" t="s">
        <v>1699</v>
      </c>
    </row>
    <row r="324" spans="1:3" ht="16.350000000000001" customHeight="1">
      <c r="A324" s="75" t="s">
        <v>1700</v>
      </c>
      <c r="B324" s="75" t="s">
        <v>1272</v>
      </c>
      <c r="C324" s="75" t="s">
        <v>1699</v>
      </c>
    </row>
    <row r="325" spans="1:3" ht="16.350000000000001" customHeight="1">
      <c r="A325" s="75" t="s">
        <v>1706</v>
      </c>
      <c r="B325" s="75" t="s">
        <v>1273</v>
      </c>
      <c r="C325" s="75" t="s">
        <v>1699</v>
      </c>
    </row>
    <row r="326" spans="1:3" ht="16.350000000000001" customHeight="1">
      <c r="A326" s="75" t="s">
        <v>1706</v>
      </c>
      <c r="B326" s="75" t="s">
        <v>1273</v>
      </c>
      <c r="C326" s="75" t="s">
        <v>1699</v>
      </c>
    </row>
    <row r="327" spans="1:3" ht="16.350000000000001" customHeight="1">
      <c r="A327" s="75" t="s">
        <v>1711</v>
      </c>
      <c r="B327" s="75" t="s">
        <v>1274</v>
      </c>
      <c r="C327" s="75" t="s">
        <v>1699</v>
      </c>
    </row>
    <row r="328" spans="1:3" ht="16.350000000000001" customHeight="1">
      <c r="A328" s="75" t="s">
        <v>1711</v>
      </c>
      <c r="B328" s="75" t="s">
        <v>1274</v>
      </c>
      <c r="C328" s="75" t="s">
        <v>1699</v>
      </c>
    </row>
    <row r="329" spans="1:3" ht="16.350000000000001" customHeight="1">
      <c r="A329" s="75" t="s">
        <v>1701</v>
      </c>
      <c r="B329" s="75" t="s">
        <v>1275</v>
      </c>
      <c r="C329" s="75" t="s">
        <v>1699</v>
      </c>
    </row>
    <row r="330" spans="1:3" ht="16.350000000000001" customHeight="1">
      <c r="A330" s="75" t="s">
        <v>1701</v>
      </c>
      <c r="B330" s="75" t="s">
        <v>1275</v>
      </c>
      <c r="C330" s="75" t="s">
        <v>1699</v>
      </c>
    </row>
    <row r="331" spans="1:3" ht="16.350000000000001" customHeight="1">
      <c r="A331" s="75" t="s">
        <v>1701</v>
      </c>
      <c r="B331" s="75" t="s">
        <v>1275</v>
      </c>
      <c r="C331" s="75" t="s">
        <v>1699</v>
      </c>
    </row>
    <row r="332" spans="1:3" ht="16.350000000000001" customHeight="1">
      <c r="A332" s="75" t="s">
        <v>1701</v>
      </c>
      <c r="B332" s="75" t="s">
        <v>1275</v>
      </c>
      <c r="C332" s="75" t="s">
        <v>1699</v>
      </c>
    </row>
    <row r="333" spans="1:3" ht="16.350000000000001" customHeight="1">
      <c r="A333" s="75" t="s">
        <v>1707</v>
      </c>
      <c r="B333" s="75" t="s">
        <v>1276</v>
      </c>
      <c r="C333" s="75" t="s">
        <v>1699</v>
      </c>
    </row>
    <row r="334" spans="1:3" ht="16.350000000000001" customHeight="1">
      <c r="A334" s="75" t="s">
        <v>1707</v>
      </c>
      <c r="B334" s="75" t="s">
        <v>1276</v>
      </c>
      <c r="C334" s="75" t="s">
        <v>1699</v>
      </c>
    </row>
    <row r="335" spans="1:3" ht="16.350000000000001" customHeight="1">
      <c r="A335" s="75" t="s">
        <v>1707</v>
      </c>
      <c r="B335" s="75" t="s">
        <v>1276</v>
      </c>
      <c r="C335" s="75" t="s">
        <v>1699</v>
      </c>
    </row>
    <row r="336" spans="1:3" ht="16.350000000000001" customHeight="1">
      <c r="A336" s="75" t="s">
        <v>1712</v>
      </c>
      <c r="B336" s="75" t="s">
        <v>1277</v>
      </c>
      <c r="C336" s="75" t="s">
        <v>1699</v>
      </c>
    </row>
    <row r="337" spans="1:3" ht="16.350000000000001" customHeight="1">
      <c r="A337" s="75" t="s">
        <v>1712</v>
      </c>
      <c r="B337" s="75" t="s">
        <v>1277</v>
      </c>
      <c r="C337" s="75" t="s">
        <v>1699</v>
      </c>
    </row>
    <row r="338" spans="1:3" ht="16.350000000000001" customHeight="1">
      <c r="A338" s="75" t="s">
        <v>1712</v>
      </c>
      <c r="B338" s="75" t="s">
        <v>1277</v>
      </c>
      <c r="C338" s="75" t="s">
        <v>1699</v>
      </c>
    </row>
    <row r="339" spans="1:3" ht="16.350000000000001" customHeight="1">
      <c r="A339" s="75" t="s">
        <v>1702</v>
      </c>
      <c r="B339" s="75" t="s">
        <v>1278</v>
      </c>
      <c r="C339" s="75" t="s">
        <v>1699</v>
      </c>
    </row>
    <row r="340" spans="1:3" ht="16.350000000000001" customHeight="1">
      <c r="A340" s="75" t="s">
        <v>2491</v>
      </c>
      <c r="B340" s="75" t="s">
        <v>2480</v>
      </c>
      <c r="C340" s="75" t="s">
        <v>1699</v>
      </c>
    </row>
    <row r="341" spans="1:3" ht="16.350000000000001" customHeight="1">
      <c r="A341" s="75" t="s">
        <v>2491</v>
      </c>
      <c r="B341" s="75" t="s">
        <v>2480</v>
      </c>
      <c r="C341" s="75" t="s">
        <v>1699</v>
      </c>
    </row>
    <row r="342" spans="1:3" ht="16.350000000000001" customHeight="1">
      <c r="A342" s="75" t="s">
        <v>1703</v>
      </c>
      <c r="B342" s="75" t="s">
        <v>1280</v>
      </c>
      <c r="C342" s="75" t="s">
        <v>1699</v>
      </c>
    </row>
    <row r="343" spans="1:3" ht="16.350000000000001" customHeight="1">
      <c r="A343" s="75" t="s">
        <v>1703</v>
      </c>
      <c r="B343" s="75" t="s">
        <v>1280</v>
      </c>
      <c r="C343" s="75" t="s">
        <v>1699</v>
      </c>
    </row>
    <row r="344" spans="1:3" ht="16.350000000000001" customHeight="1">
      <c r="A344" s="75" t="s">
        <v>1703</v>
      </c>
      <c r="B344" s="75" t="s">
        <v>1280</v>
      </c>
      <c r="C344" s="75" t="s">
        <v>1699</v>
      </c>
    </row>
    <row r="345" spans="1:3" ht="16.350000000000001" customHeight="1">
      <c r="A345" s="75" t="s">
        <v>1703</v>
      </c>
      <c r="B345" s="75" t="s">
        <v>1280</v>
      </c>
      <c r="C345" s="75" t="s">
        <v>1699</v>
      </c>
    </row>
    <row r="346" spans="1:3" ht="16.350000000000001" customHeight="1">
      <c r="A346" s="75" t="s">
        <v>1708</v>
      </c>
      <c r="B346" s="75" t="s">
        <v>1281</v>
      </c>
      <c r="C346" s="75" t="s">
        <v>1699</v>
      </c>
    </row>
    <row r="347" spans="1:3" ht="16.350000000000001" customHeight="1">
      <c r="A347" s="75" t="s">
        <v>1708</v>
      </c>
      <c r="B347" s="75" t="s">
        <v>1281</v>
      </c>
      <c r="C347" s="75" t="s">
        <v>1699</v>
      </c>
    </row>
    <row r="348" spans="1:3" ht="16.350000000000001" customHeight="1">
      <c r="A348" s="75" t="s">
        <v>1708</v>
      </c>
      <c r="B348" s="75" t="s">
        <v>1281</v>
      </c>
      <c r="C348" s="75" t="s">
        <v>1699</v>
      </c>
    </row>
    <row r="349" spans="1:3" ht="16.350000000000001" customHeight="1">
      <c r="A349" s="75" t="s">
        <v>1708</v>
      </c>
      <c r="B349" s="75" t="s">
        <v>1281</v>
      </c>
      <c r="C349" s="75" t="s">
        <v>1699</v>
      </c>
    </row>
    <row r="350" spans="1:3" ht="16.350000000000001" customHeight="1">
      <c r="A350" s="75" t="s">
        <v>1713</v>
      </c>
      <c r="B350" s="75" t="s">
        <v>1282</v>
      </c>
      <c r="C350" s="75" t="s">
        <v>1699</v>
      </c>
    </row>
    <row r="351" spans="1:3" ht="16.350000000000001" customHeight="1">
      <c r="A351" s="75" t="s">
        <v>1713</v>
      </c>
      <c r="B351" s="75" t="s">
        <v>1282</v>
      </c>
      <c r="C351" s="75" t="s">
        <v>1699</v>
      </c>
    </row>
    <row r="352" spans="1:3" ht="16.350000000000001" customHeight="1">
      <c r="A352" s="75" t="s">
        <v>1713</v>
      </c>
      <c r="B352" s="75" t="s">
        <v>1282</v>
      </c>
      <c r="C352" s="75" t="s">
        <v>1699</v>
      </c>
    </row>
    <row r="353" spans="1:3" ht="16.350000000000001" customHeight="1">
      <c r="A353" s="75" t="s">
        <v>1713</v>
      </c>
      <c r="B353" s="75" t="s">
        <v>1282</v>
      </c>
      <c r="C353" s="75" t="s">
        <v>1699</v>
      </c>
    </row>
    <row r="354" spans="1:3" ht="16.350000000000001" customHeight="1">
      <c r="A354" s="75" t="s">
        <v>1704</v>
      </c>
      <c r="B354" s="75" t="s">
        <v>1283</v>
      </c>
      <c r="C354" s="75" t="s">
        <v>1699</v>
      </c>
    </row>
    <row r="355" spans="1:3" ht="16.350000000000001" customHeight="1">
      <c r="A355" s="75" t="s">
        <v>1704</v>
      </c>
      <c r="B355" s="75" t="s">
        <v>1283</v>
      </c>
      <c r="C355" s="75" t="s">
        <v>1699</v>
      </c>
    </row>
    <row r="356" spans="1:3" ht="16.350000000000001" customHeight="1">
      <c r="A356" s="75" t="s">
        <v>1704</v>
      </c>
      <c r="B356" s="75" t="s">
        <v>1283</v>
      </c>
      <c r="C356" s="75" t="s">
        <v>1699</v>
      </c>
    </row>
    <row r="357" spans="1:3" ht="16.350000000000001" customHeight="1">
      <c r="A357" s="75" t="s">
        <v>1704</v>
      </c>
      <c r="B357" s="75" t="s">
        <v>1283</v>
      </c>
      <c r="C357" s="75" t="s">
        <v>1699</v>
      </c>
    </row>
    <row r="358" spans="1:3" ht="16.350000000000001" customHeight="1">
      <c r="A358" s="75" t="s">
        <v>1704</v>
      </c>
      <c r="B358" s="75" t="s">
        <v>1283</v>
      </c>
      <c r="C358" s="75" t="s">
        <v>1699</v>
      </c>
    </row>
    <row r="359" spans="1:3" ht="16.350000000000001" customHeight="1">
      <c r="A359" s="75" t="s">
        <v>1709</v>
      </c>
      <c r="B359" s="75" t="s">
        <v>1284</v>
      </c>
      <c r="C359" s="75" t="s">
        <v>1699</v>
      </c>
    </row>
    <row r="360" spans="1:3" ht="16.350000000000001" customHeight="1">
      <c r="A360" s="75" t="s">
        <v>1709</v>
      </c>
      <c r="B360" s="75" t="s">
        <v>1284</v>
      </c>
      <c r="C360" s="75" t="s">
        <v>1699</v>
      </c>
    </row>
    <row r="361" spans="1:3" ht="16.350000000000001" customHeight="1">
      <c r="A361" s="75" t="s">
        <v>1709</v>
      </c>
      <c r="B361" s="75" t="s">
        <v>1284</v>
      </c>
      <c r="C361" s="75" t="s">
        <v>1699</v>
      </c>
    </row>
    <row r="362" spans="1:3" ht="16.350000000000001" customHeight="1">
      <c r="A362" s="75" t="s">
        <v>1709</v>
      </c>
      <c r="B362" s="75" t="s">
        <v>1284</v>
      </c>
      <c r="C362" s="75" t="s">
        <v>1699</v>
      </c>
    </row>
    <row r="363" spans="1:3" ht="16.350000000000001" customHeight="1">
      <c r="A363" s="75" t="s">
        <v>1709</v>
      </c>
      <c r="B363" s="75" t="s">
        <v>1284</v>
      </c>
      <c r="C363" s="75" t="s">
        <v>1699</v>
      </c>
    </row>
    <row r="364" spans="1:3" ht="16.350000000000001" customHeight="1">
      <c r="A364" s="75" t="s">
        <v>1714</v>
      </c>
      <c r="B364" s="75" t="s">
        <v>1285</v>
      </c>
      <c r="C364" s="75" t="s">
        <v>1699</v>
      </c>
    </row>
    <row r="365" spans="1:3" ht="16.350000000000001" customHeight="1">
      <c r="A365" s="75" t="s">
        <v>1714</v>
      </c>
      <c r="B365" s="75" t="s">
        <v>1285</v>
      </c>
      <c r="C365" s="75" t="s">
        <v>1699</v>
      </c>
    </row>
    <row r="366" spans="1:3" ht="16.350000000000001" customHeight="1">
      <c r="A366" s="75" t="s">
        <v>1714</v>
      </c>
      <c r="B366" s="75" t="s">
        <v>1285</v>
      </c>
      <c r="C366" s="75" t="s">
        <v>1699</v>
      </c>
    </row>
    <row r="367" spans="1:3" ht="16.350000000000001" customHeight="1">
      <c r="A367" s="75" t="s">
        <v>1714</v>
      </c>
      <c r="B367" s="75" t="s">
        <v>1285</v>
      </c>
      <c r="C367" s="75" t="s">
        <v>1699</v>
      </c>
    </row>
    <row r="368" spans="1:3" ht="16.350000000000001" customHeight="1">
      <c r="A368" s="75" t="s">
        <v>1714</v>
      </c>
      <c r="B368" s="75" t="s">
        <v>1285</v>
      </c>
      <c r="C368" s="75" t="s">
        <v>1699</v>
      </c>
    </row>
    <row r="369" spans="1:3" ht="16.350000000000001" customHeight="1">
      <c r="A369" s="75" t="s">
        <v>1705</v>
      </c>
      <c r="B369" s="75" t="s">
        <v>1286</v>
      </c>
      <c r="C369" s="75" t="s">
        <v>1699</v>
      </c>
    </row>
    <row r="370" spans="1:3" ht="16.350000000000001" customHeight="1">
      <c r="A370" s="75" t="s">
        <v>1705</v>
      </c>
      <c r="B370" s="75" t="s">
        <v>1286</v>
      </c>
      <c r="C370" s="75" t="s">
        <v>1699</v>
      </c>
    </row>
    <row r="371" spans="1:3" ht="16.350000000000001" customHeight="1">
      <c r="A371" s="75" t="s">
        <v>1710</v>
      </c>
      <c r="B371" s="75" t="s">
        <v>1287</v>
      </c>
      <c r="C371" s="75" t="s">
        <v>1699</v>
      </c>
    </row>
    <row r="372" spans="1:3" ht="16.350000000000001" customHeight="1">
      <c r="A372" s="75" t="s">
        <v>1710</v>
      </c>
      <c r="B372" s="75" t="s">
        <v>1287</v>
      </c>
      <c r="C372" s="75" t="s">
        <v>1699</v>
      </c>
    </row>
    <row r="373" spans="1:3" ht="16.350000000000001" customHeight="1">
      <c r="A373" s="75" t="s">
        <v>1715</v>
      </c>
      <c r="B373" s="75" t="s">
        <v>1288</v>
      </c>
      <c r="C373" s="75" t="s">
        <v>1699</v>
      </c>
    </row>
    <row r="374" spans="1:3" ht="16.350000000000001" customHeight="1">
      <c r="A374" s="75" t="s">
        <v>1715</v>
      </c>
      <c r="B374" s="75" t="s">
        <v>1288</v>
      </c>
      <c r="C374" s="75" t="s">
        <v>1699</v>
      </c>
    </row>
    <row r="375" spans="1:3" ht="16.350000000000001" customHeight="1">
      <c r="A375" s="75" t="s">
        <v>2492</v>
      </c>
      <c r="B375" s="75" t="s">
        <v>2481</v>
      </c>
      <c r="C375" s="75" t="s">
        <v>1699</v>
      </c>
    </row>
    <row r="376" spans="1:3" ht="16.350000000000001" customHeight="1">
      <c r="A376" s="75" t="s">
        <v>2492</v>
      </c>
      <c r="B376" s="75" t="s">
        <v>2481</v>
      </c>
      <c r="C376" s="75" t="s">
        <v>1699</v>
      </c>
    </row>
    <row r="377" spans="1:3" ht="16.350000000000001" customHeight="1">
      <c r="A377" s="75" t="s">
        <v>2492</v>
      </c>
      <c r="B377" s="75" t="s">
        <v>2481</v>
      </c>
      <c r="C377" s="75" t="s">
        <v>1699</v>
      </c>
    </row>
    <row r="378" spans="1:3" ht="16.350000000000001" customHeight="1">
      <c r="A378" s="75" t="s">
        <v>2493</v>
      </c>
      <c r="B378" s="75" t="s">
        <v>2482</v>
      </c>
      <c r="C378" s="75" t="s">
        <v>1699</v>
      </c>
    </row>
    <row r="379" spans="1:3" ht="16.350000000000001" customHeight="1">
      <c r="A379" s="75" t="s">
        <v>2493</v>
      </c>
      <c r="B379" s="75" t="s">
        <v>2482</v>
      </c>
      <c r="C379" s="75" t="s">
        <v>1699</v>
      </c>
    </row>
    <row r="380" spans="1:3" ht="16.350000000000001" customHeight="1">
      <c r="A380" s="75" t="s">
        <v>2493</v>
      </c>
      <c r="B380" s="75" t="s">
        <v>2482</v>
      </c>
      <c r="C380" s="75" t="s">
        <v>1699</v>
      </c>
    </row>
    <row r="381" spans="1:3" ht="16.350000000000001" customHeight="1">
      <c r="A381" s="75" t="s">
        <v>2494</v>
      </c>
      <c r="B381" s="75" t="s">
        <v>2483</v>
      </c>
      <c r="C381" s="75" t="s">
        <v>1699</v>
      </c>
    </row>
    <row r="382" spans="1:3" ht="16.350000000000001" customHeight="1">
      <c r="A382" s="75" t="s">
        <v>2494</v>
      </c>
      <c r="B382" s="75" t="s">
        <v>2483</v>
      </c>
      <c r="C382" s="75" t="s">
        <v>1699</v>
      </c>
    </row>
    <row r="383" spans="1:3" ht="16.350000000000001" customHeight="1">
      <c r="A383" s="75" t="s">
        <v>2494</v>
      </c>
      <c r="B383" s="75" t="s">
        <v>2483</v>
      </c>
      <c r="C383" s="75" t="s">
        <v>1699</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topLeftCell="A657" workbookViewId="0">
      <selection activeCell="B671" sqref="B671"/>
    </sheetView>
  </sheetViews>
  <sheetFormatPr defaultColWidth="8.5703125" defaultRowHeight="15"/>
  <cols>
    <col min="1" max="1" width="16.42578125" style="191" customWidth="1"/>
    <col min="2" max="2" width="54.140625" style="191" customWidth="1"/>
    <col min="3" max="3" width="39.5703125" style="191" customWidth="1"/>
    <col min="4" max="4" width="9.5703125" style="191" bestFit="1" customWidth="1"/>
    <col min="5" max="5" width="9.42578125" style="191" bestFit="1" customWidth="1"/>
    <col min="6" max="6" width="11" style="191" customWidth="1"/>
    <col min="7" max="7" width="10.140625" style="191" customWidth="1"/>
    <col min="8" max="8" width="9.5703125" style="191" customWidth="1"/>
    <col min="9" max="9" width="10.5703125" style="191" customWidth="1"/>
    <col min="10" max="10" width="9.5703125" style="191" customWidth="1"/>
    <col min="11" max="11" width="10.42578125" style="191" customWidth="1"/>
    <col min="12" max="12" width="12" style="191" customWidth="1"/>
    <col min="13" max="13" width="51.7109375" style="191" customWidth="1"/>
    <col min="14" max="14" width="45.42578125" style="191" customWidth="1"/>
    <col min="15" max="15" width="54.28515625" style="191" customWidth="1"/>
    <col min="16" max="16" width="37.85546875" style="191" customWidth="1"/>
    <col min="17" max="17" width="23.28515625" style="191" customWidth="1"/>
    <col min="18" max="18" width="84" style="191" bestFit="1" customWidth="1"/>
    <col min="19" max="19" width="8.5703125" style="191"/>
    <col min="20" max="20" width="18.5703125" style="191" bestFit="1" customWidth="1"/>
    <col min="21" max="21" width="21.140625" style="191" customWidth="1"/>
    <col min="22" max="26" width="8.5703125" style="191"/>
    <col min="27" max="28" width="65.85546875" style="191" bestFit="1" customWidth="1"/>
    <col min="29" max="33" width="8.5703125" style="191"/>
    <col min="34" max="34" width="59.85546875" style="191" bestFit="1" customWidth="1"/>
    <col min="35" max="16384" width="8.5703125" style="191"/>
  </cols>
  <sheetData>
    <row r="1" spans="1:35">
      <c r="D1" s="191">
        <f>Hlavní!V39</f>
        <v>3</v>
      </c>
      <c r="M1" s="233"/>
      <c r="AA1" s="236" t="s">
        <v>3440</v>
      </c>
      <c r="AB1" s="236" t="s">
        <v>3237</v>
      </c>
      <c r="AH1" s="256" t="s">
        <v>387</v>
      </c>
      <c r="AI1" s="256" t="s">
        <v>389</v>
      </c>
    </row>
    <row r="2" spans="1:35">
      <c r="M2" s="233"/>
      <c r="AA2" s="236" t="s">
        <v>3441</v>
      </c>
      <c r="AB2" s="236" t="s">
        <v>3317</v>
      </c>
      <c r="AH2" s="256" t="s">
        <v>1248</v>
      </c>
      <c r="AI2" s="256" t="s">
        <v>1249</v>
      </c>
    </row>
    <row r="3" spans="1:35">
      <c r="B3" s="192"/>
      <c r="C3" s="192"/>
      <c r="D3" s="192"/>
      <c r="E3" s="192"/>
      <c r="F3" s="192"/>
      <c r="G3" s="226" t="s">
        <v>18</v>
      </c>
      <c r="H3" s="227">
        <v>25.05</v>
      </c>
      <c r="I3" s="226" t="s">
        <v>18</v>
      </c>
      <c r="J3" s="227">
        <v>6</v>
      </c>
      <c r="K3" s="226" t="s">
        <v>560</v>
      </c>
      <c r="L3" s="227">
        <v>6.2</v>
      </c>
      <c r="M3" s="233"/>
      <c r="AA3" s="236" t="s">
        <v>3442</v>
      </c>
      <c r="AB3" s="236" t="s">
        <v>3238</v>
      </c>
      <c r="AH3" s="256" t="s">
        <v>1074</v>
      </c>
      <c r="AI3" s="256" t="s">
        <v>1245</v>
      </c>
    </row>
    <row r="4" spans="1:35">
      <c r="B4" s="228" t="s">
        <v>19</v>
      </c>
      <c r="C4" s="614" t="s">
        <v>20</v>
      </c>
      <c r="D4" s="615"/>
      <c r="E4" s="614" t="s">
        <v>20</v>
      </c>
      <c r="F4" s="615"/>
      <c r="G4" s="614" t="s">
        <v>21</v>
      </c>
      <c r="H4" s="615"/>
      <c r="I4" s="614" t="s">
        <v>22</v>
      </c>
      <c r="J4" s="615"/>
      <c r="K4" s="614" t="s">
        <v>23</v>
      </c>
      <c r="L4" s="615"/>
      <c r="M4" s="233"/>
      <c r="AA4" s="236" t="s">
        <v>3587</v>
      </c>
      <c r="AB4" s="236" t="s">
        <v>3239</v>
      </c>
      <c r="AH4" s="256" t="s">
        <v>1019</v>
      </c>
      <c r="AI4" s="256" t="s">
        <v>1250</v>
      </c>
    </row>
    <row r="5" spans="1:35" ht="15.75" thickBot="1">
      <c r="B5" s="234" t="s">
        <v>24</v>
      </c>
      <c r="C5" s="229" t="s">
        <v>25</v>
      </c>
      <c r="D5" s="230" t="s">
        <v>26</v>
      </c>
      <c r="E5" s="229" t="s">
        <v>25</v>
      </c>
      <c r="F5" s="230" t="s">
        <v>26</v>
      </c>
      <c r="G5" s="229" t="s">
        <v>25</v>
      </c>
      <c r="H5" s="230" t="s">
        <v>26</v>
      </c>
      <c r="I5" s="229" t="s">
        <v>25</v>
      </c>
      <c r="J5" s="230" t="s">
        <v>26</v>
      </c>
      <c r="K5" s="229" t="s">
        <v>25</v>
      </c>
      <c r="L5" s="230" t="s">
        <v>26</v>
      </c>
      <c r="M5" s="233" t="s">
        <v>42</v>
      </c>
      <c r="N5" s="191" t="s">
        <v>43</v>
      </c>
      <c r="O5" s="191" t="s">
        <v>44</v>
      </c>
      <c r="P5" s="191" t="s">
        <v>45</v>
      </c>
      <c r="Q5" s="191" t="s">
        <v>1526</v>
      </c>
      <c r="R5" s="191" t="s">
        <v>3908</v>
      </c>
      <c r="S5" s="191" t="s">
        <v>3688</v>
      </c>
      <c r="U5" s="191" t="s">
        <v>3689</v>
      </c>
      <c r="V5" s="191" t="s">
        <v>3690</v>
      </c>
      <c r="AA5" s="236" t="s">
        <v>3443</v>
      </c>
      <c r="AB5" s="236" t="s">
        <v>3240</v>
      </c>
      <c r="AH5" s="256" t="s">
        <v>549</v>
      </c>
      <c r="AI5" s="256" t="s">
        <v>3348</v>
      </c>
    </row>
    <row r="6" spans="1:35">
      <c r="A6" s="616" t="s">
        <v>1021</v>
      </c>
      <c r="B6" s="235" t="str">
        <f>IF($D$1=1,M6,
IF($D$1=2,N6,
IF($D$1=3,O6,
IF($D$1=4,P6,
IF($D$1=5,Q6,
IF($D$1=6,R6,0))))))</f>
        <v>BRW (elox.) - maksymalna zalecana długość profilu 2500 mm</v>
      </c>
      <c r="C6" s="228">
        <f>IF($D$1=1,E6,IF(OR($D$1=2,$D$1=5,),G6,IF($D$1=3,I6,IF($D$1=4,K6,IF($D$1=6,G6*1.3,0)))))</f>
        <v>49.03416</v>
      </c>
      <c r="D6" s="228">
        <f>IF($D$1=1,F6,IF(OR($D$1=2,$D$1=5),H6,IF($D$1=3,J6,IF($D$1=4,L6,IF($D$1=6,H6*1.3,0)))))</f>
        <v>31.920480000000005</v>
      </c>
      <c r="E6" s="228">
        <v>373.07692800000001</v>
      </c>
      <c r="F6" s="228">
        <v>211.47318000000001</v>
      </c>
      <c r="G6" s="228">
        <v>12.894191137724553</v>
      </c>
      <c r="H6" s="228">
        <v>7.3270562874251493</v>
      </c>
      <c r="I6" s="228">
        <v>49.03416</v>
      </c>
      <c r="J6" s="228">
        <v>31.920480000000005</v>
      </c>
      <c r="K6" s="228">
        <v>4704.8562580645166</v>
      </c>
      <c r="L6" s="228">
        <v>2844.5266451612906</v>
      </c>
      <c r="M6" s="236" t="s">
        <v>3440</v>
      </c>
      <c r="N6" s="236" t="s">
        <v>3489</v>
      </c>
      <c r="O6" s="236" t="s">
        <v>3545</v>
      </c>
      <c r="P6" s="236" t="s">
        <v>3628</v>
      </c>
      <c r="Q6" s="267" t="s">
        <v>3184</v>
      </c>
      <c r="R6" s="390" t="s">
        <v>3909</v>
      </c>
      <c r="S6" s="191">
        <v>2500</v>
      </c>
      <c r="T6" s="191">
        <v>2500</v>
      </c>
      <c r="U6" s="334">
        <v>2700</v>
      </c>
      <c r="V6" s="334">
        <v>700</v>
      </c>
      <c r="AA6" s="237" t="s">
        <v>3444</v>
      </c>
      <c r="AB6" s="236" t="s">
        <v>3241</v>
      </c>
      <c r="AH6" s="256" t="s">
        <v>391</v>
      </c>
      <c r="AI6" s="256" t="s">
        <v>3349</v>
      </c>
    </row>
    <row r="7" spans="1:35">
      <c r="A7" s="617"/>
      <c r="B7" s="235" t="str">
        <f t="shared" ref="B7:B60" si="0">IF($D$1=1,M7,
IF($D$1=2,N7,
IF($D$1=3,O7,
IF($D$1=4,P7,
IF($D$1=5,Q7,
IF($D$1=6,R7,0))))))</f>
        <v>BRW antracyt RAL 7021 - maksymalna zalecana długość profilu 2500 mm</v>
      </c>
      <c r="C7" s="228">
        <f t="shared" ref="C7:C60" si="1">IF($D$1=1,E7,IF(OR($D$1=2,$D$1=5,),G7,IF($D$1=3,I7,IF($D$1=4,K7,IF($D$1=6,G7*1.3,0)))))</f>
        <v>88.153039259999986</v>
      </c>
      <c r="D7" s="228">
        <f t="shared" ref="D7:D60" si="2">IF($D$1=1,F7,IF(OR($D$1=2,$D$1=5),H7,IF($D$1=3,J7,IF($D$1=4,L7,IF($D$1=6,H7*1.3,0)))))</f>
        <v>31.920480000000005</v>
      </c>
      <c r="E7" s="228">
        <v>670.71333700799994</v>
      </c>
      <c r="F7" s="228">
        <v>211.47318000000001</v>
      </c>
      <c r="G7" s="228">
        <v>23.181025994730536</v>
      </c>
      <c r="H7" s="228">
        <v>7.3270562874251493</v>
      </c>
      <c r="I7" s="228">
        <v>88.153039259999986</v>
      </c>
      <c r="J7" s="228">
        <v>31.920480000000005</v>
      </c>
      <c r="K7" s="228">
        <v>8458.3355446451606</v>
      </c>
      <c r="L7" s="228">
        <v>2844.5266451612906</v>
      </c>
      <c r="M7" s="236" t="s">
        <v>3441</v>
      </c>
      <c r="N7" s="236" t="s">
        <v>3490</v>
      </c>
      <c r="O7" s="236" t="s">
        <v>3546</v>
      </c>
      <c r="P7" s="236" t="s">
        <v>3629</v>
      </c>
      <c r="Q7" s="267" t="s">
        <v>3290</v>
      </c>
      <c r="R7" s="390" t="s">
        <v>3910</v>
      </c>
      <c r="S7" s="191">
        <v>2500</v>
      </c>
      <c r="T7" s="191">
        <v>2500</v>
      </c>
      <c r="U7" s="334">
        <v>2700</v>
      </c>
      <c r="V7" s="334">
        <v>700</v>
      </c>
      <c r="AA7" s="237" t="s">
        <v>3445</v>
      </c>
      <c r="AB7" s="236" t="s">
        <v>3242</v>
      </c>
      <c r="AH7" s="256" t="s">
        <v>3759</v>
      </c>
      <c r="AI7" s="256" t="s">
        <v>3350</v>
      </c>
    </row>
    <row r="8" spans="1:35">
      <c r="A8" s="617"/>
      <c r="B8" s="235" t="str">
        <f t="shared" si="0"/>
        <v>BRW bialy matowy RAL 9003 - maksymalna zalecana długość profilu 2500 mm</v>
      </c>
      <c r="C8" s="228">
        <f t="shared" si="1"/>
        <v>79.003980720000015</v>
      </c>
      <c r="D8" s="228">
        <f t="shared" si="2"/>
        <v>31.920480000000005</v>
      </c>
      <c r="E8" s="228">
        <v>601.10262777600008</v>
      </c>
      <c r="F8" s="228">
        <v>211.47318000000001</v>
      </c>
      <c r="G8" s="228">
        <v>20.775158135568866</v>
      </c>
      <c r="H8" s="228">
        <v>7.3270562874251493</v>
      </c>
      <c r="I8" s="228">
        <v>79.003980720000015</v>
      </c>
      <c r="J8" s="228">
        <v>31.920480000000005</v>
      </c>
      <c r="K8" s="228">
        <v>7580.4780402580664</v>
      </c>
      <c r="L8" s="228">
        <v>2844.5266451612906</v>
      </c>
      <c r="M8" s="236" t="s">
        <v>3442</v>
      </c>
      <c r="N8" s="236" t="s">
        <v>3491</v>
      </c>
      <c r="O8" s="236" t="s">
        <v>3547</v>
      </c>
      <c r="P8" s="236" t="s">
        <v>3630</v>
      </c>
      <c r="Q8" s="267" t="s">
        <v>3291</v>
      </c>
      <c r="R8" s="390" t="s">
        <v>3911</v>
      </c>
      <c r="S8" s="191">
        <v>2500</v>
      </c>
      <c r="T8" s="191">
        <v>2500</v>
      </c>
      <c r="U8" s="334">
        <v>2700</v>
      </c>
      <c r="V8" s="334">
        <v>700</v>
      </c>
      <c r="AA8" s="238" t="s">
        <v>3694</v>
      </c>
      <c r="AB8" s="237" t="s">
        <v>1724</v>
      </c>
      <c r="AH8" s="256" t="s">
        <v>3760</v>
      </c>
      <c r="AI8" s="256" t="s">
        <v>3351</v>
      </c>
    </row>
    <row r="9" spans="1:35">
      <c r="A9" s="617"/>
      <c r="B9" s="235" t="str">
        <f t="shared" si="0"/>
        <v>BRW bialy połysk RAL 9003 - maksymalna zalecana długość profilu 2500 mm</v>
      </c>
      <c r="C9" s="228">
        <f t="shared" si="1"/>
        <v>79.003980720000015</v>
      </c>
      <c r="D9" s="228">
        <f t="shared" si="2"/>
        <v>31.920480000000005</v>
      </c>
      <c r="E9" s="228">
        <v>601.10262777600008</v>
      </c>
      <c r="F9" s="228">
        <v>211.47318000000001</v>
      </c>
      <c r="G9" s="228">
        <v>20.775158135568866</v>
      </c>
      <c r="H9" s="228">
        <v>7.3270562874251493</v>
      </c>
      <c r="I9" s="228">
        <v>79.003980720000015</v>
      </c>
      <c r="J9" s="228">
        <v>31.920480000000005</v>
      </c>
      <c r="K9" s="228">
        <v>7580.4780402580664</v>
      </c>
      <c r="L9" s="228">
        <v>2844.5266451612906</v>
      </c>
      <c r="M9" s="236" t="s">
        <v>3587</v>
      </c>
      <c r="N9" s="236" t="s">
        <v>3588</v>
      </c>
      <c r="O9" s="236" t="s">
        <v>3589</v>
      </c>
      <c r="P9" s="236" t="s">
        <v>3631</v>
      </c>
      <c r="Q9" s="267" t="s">
        <v>3590</v>
      </c>
      <c r="R9" s="390" t="s">
        <v>3912</v>
      </c>
      <c r="S9" s="191">
        <v>2500</v>
      </c>
      <c r="T9" s="191">
        <v>2500</v>
      </c>
      <c r="U9" s="334">
        <v>2700</v>
      </c>
      <c r="V9" s="334">
        <v>700</v>
      </c>
      <c r="AA9" s="237" t="s">
        <v>3446</v>
      </c>
      <c r="AB9" s="236" t="s">
        <v>3243</v>
      </c>
      <c r="AH9" s="256" t="s">
        <v>3761</v>
      </c>
      <c r="AI9" s="256" t="s">
        <v>3352</v>
      </c>
    </row>
    <row r="10" spans="1:35">
      <c r="A10" s="617"/>
      <c r="B10" s="235" t="str">
        <f t="shared" si="0"/>
        <v>BRW brąz - maksymalna zalecana długość profilu 2500 mm</v>
      </c>
      <c r="C10" s="228">
        <f t="shared" si="1"/>
        <v>50.671170000000004</v>
      </c>
      <c r="D10" s="228">
        <f t="shared" si="2"/>
        <v>31.920480000000005</v>
      </c>
      <c r="E10" s="228">
        <v>385.53213599999998</v>
      </c>
      <c r="F10" s="228">
        <v>211.47318000000001</v>
      </c>
      <c r="G10" s="228">
        <v>13.32466491017964</v>
      </c>
      <c r="H10" s="228">
        <v>7.3270562874251493</v>
      </c>
      <c r="I10" s="228">
        <v>50.671170000000004</v>
      </c>
      <c r="J10" s="228">
        <v>31.920480000000005</v>
      </c>
      <c r="K10" s="228">
        <v>4861.9283225806448</v>
      </c>
      <c r="L10" s="228">
        <v>2844.5266451612906</v>
      </c>
      <c r="M10" s="236" t="s">
        <v>3443</v>
      </c>
      <c r="N10" s="236" t="s">
        <v>3492</v>
      </c>
      <c r="O10" s="236" t="s">
        <v>3548</v>
      </c>
      <c r="P10" s="236" t="s">
        <v>3632</v>
      </c>
      <c r="Q10" s="267" t="s">
        <v>3751</v>
      </c>
      <c r="R10" s="390" t="s">
        <v>3913</v>
      </c>
      <c r="S10" s="191">
        <v>2500</v>
      </c>
      <c r="T10" s="191">
        <v>2500</v>
      </c>
      <c r="U10" s="334">
        <v>2700</v>
      </c>
      <c r="V10" s="334">
        <v>700</v>
      </c>
      <c r="AA10" s="237" t="s">
        <v>3447</v>
      </c>
      <c r="AB10" s="236" t="s">
        <v>3244</v>
      </c>
      <c r="AH10" s="256" t="s">
        <v>3825</v>
      </c>
      <c r="AI10" s="256" t="s">
        <v>3353</v>
      </c>
    </row>
    <row r="11" spans="1:35">
      <c r="A11" s="617"/>
      <c r="B11" s="235" t="str">
        <f t="shared" si="0"/>
        <v>BRW szczotkowany - maksymalna zalecana długość profilu 2500 mm</v>
      </c>
      <c r="C11" s="228">
        <f t="shared" si="1"/>
        <v>71.118566999999999</v>
      </c>
      <c r="D11" s="228">
        <f t="shared" si="2"/>
        <v>31.920480000000005</v>
      </c>
      <c r="E11" s="228">
        <v>541.10637359999998</v>
      </c>
      <c r="F11" s="228">
        <v>211.47318000000001</v>
      </c>
      <c r="G11" s="228">
        <v>18.701582658682636</v>
      </c>
      <c r="H11" s="228">
        <v>7.3270562874251493</v>
      </c>
      <c r="I11" s="228">
        <v>71.118566999999999</v>
      </c>
      <c r="J11" s="228">
        <v>31.920480000000005</v>
      </c>
      <c r="K11" s="228">
        <v>6823.8679935483869</v>
      </c>
      <c r="L11" s="228">
        <v>2844.5266451612906</v>
      </c>
      <c r="M11" s="237" t="s">
        <v>3444</v>
      </c>
      <c r="N11" s="237" t="s">
        <v>3493</v>
      </c>
      <c r="O11" s="236" t="s">
        <v>3549</v>
      </c>
      <c r="P11" s="237" t="s">
        <v>3633</v>
      </c>
      <c r="Q11" s="267" t="s">
        <v>3292</v>
      </c>
      <c r="R11" s="390" t="s">
        <v>3914</v>
      </c>
      <c r="S11" s="191">
        <v>2500</v>
      </c>
      <c r="T11" s="191">
        <v>2500</v>
      </c>
      <c r="U11" s="334">
        <v>2700</v>
      </c>
      <c r="V11" s="334">
        <v>700</v>
      </c>
      <c r="AA11" s="237" t="s">
        <v>3448</v>
      </c>
      <c r="AB11" s="236" t="s">
        <v>3245</v>
      </c>
      <c r="AH11" s="256" t="s">
        <v>827</v>
      </c>
      <c r="AI11" s="256" t="s">
        <v>3354</v>
      </c>
    </row>
    <row r="12" spans="1:35">
      <c r="A12" s="617"/>
      <c r="B12" s="235" t="str">
        <f t="shared" si="0"/>
        <v>BRW Czarny matowy - maksymalna zalecana długość profilu 2500 mm</v>
      </c>
      <c r="C12" s="228">
        <f t="shared" si="1"/>
        <v>48.644323200000002</v>
      </c>
      <c r="D12" s="228">
        <f t="shared" si="2"/>
        <v>32.289839999999998</v>
      </c>
      <c r="E12" s="228">
        <v>370.11085056000002</v>
      </c>
      <c r="F12" s="228">
        <v>213.92019000000002</v>
      </c>
      <c r="G12" s="228">
        <v>12.791678313772454</v>
      </c>
      <c r="H12" s="228">
        <v>7.4118395209580834</v>
      </c>
      <c r="I12" s="228">
        <v>48.644323200000002</v>
      </c>
      <c r="J12" s="228">
        <v>32.289839999999998</v>
      </c>
      <c r="K12" s="228">
        <v>4667.4511896774202</v>
      </c>
      <c r="L12" s="228">
        <v>2877.4413870967746</v>
      </c>
      <c r="M12" s="237" t="s">
        <v>3445</v>
      </c>
      <c r="N12" s="237" t="s">
        <v>3494</v>
      </c>
      <c r="O12" s="236" t="s">
        <v>3550</v>
      </c>
      <c r="P12" s="237" t="s">
        <v>3634</v>
      </c>
      <c r="Q12" s="267" t="s">
        <v>3293</v>
      </c>
      <c r="R12" s="390" t="s">
        <v>3915</v>
      </c>
      <c r="S12" s="191">
        <v>2500</v>
      </c>
      <c r="T12" s="191">
        <v>2500</v>
      </c>
      <c r="U12" s="334">
        <v>2700</v>
      </c>
      <c r="V12" s="334">
        <v>700</v>
      </c>
      <c r="AA12" s="237" t="s">
        <v>3591</v>
      </c>
      <c r="AB12" s="236" t="s">
        <v>557</v>
      </c>
      <c r="AH12" s="256" t="s">
        <v>828</v>
      </c>
      <c r="AI12" s="256" t="s">
        <v>3355</v>
      </c>
    </row>
    <row r="13" spans="1:35">
      <c r="A13" s="617"/>
      <c r="B13" s="235" t="str">
        <f t="shared" si="0"/>
        <v>BRW złota- maksymalna zalecana długość profilu 2500 mm</v>
      </c>
      <c r="C13" s="228">
        <f t="shared" si="1"/>
        <v>98.814492000000016</v>
      </c>
      <c r="D13" s="228">
        <f t="shared" si="2"/>
        <v>31.920480000000005</v>
      </c>
      <c r="E13" s="228">
        <v>751.83111360000009</v>
      </c>
      <c r="F13" s="228">
        <v>211.47318000000001</v>
      </c>
      <c r="G13" s="228">
        <v>25.984598227544911</v>
      </c>
      <c r="H13" s="228">
        <v>7.3270562874251493</v>
      </c>
      <c r="I13" s="228">
        <v>98.814492000000016</v>
      </c>
      <c r="J13" s="228">
        <v>31.920480000000005</v>
      </c>
      <c r="K13" s="228">
        <v>9481.3081548387108</v>
      </c>
      <c r="L13" s="228">
        <v>2844.5266451612906</v>
      </c>
      <c r="M13" s="238" t="s">
        <v>3694</v>
      </c>
      <c r="N13" s="238" t="s">
        <v>3695</v>
      </c>
      <c r="O13" s="237" t="s">
        <v>3696</v>
      </c>
      <c r="P13" s="237" t="s">
        <v>3697</v>
      </c>
      <c r="Q13" s="236" t="s">
        <v>3698</v>
      </c>
      <c r="R13" s="390" t="s">
        <v>3916</v>
      </c>
      <c r="S13" s="191">
        <v>2500</v>
      </c>
      <c r="T13" s="191">
        <v>2500</v>
      </c>
      <c r="U13" s="334">
        <v>2700</v>
      </c>
      <c r="V13" s="334">
        <v>700</v>
      </c>
      <c r="AA13" s="237" t="s">
        <v>3595</v>
      </c>
      <c r="AB13" s="236" t="s">
        <v>3246</v>
      </c>
      <c r="AH13" s="256" t="s">
        <v>392</v>
      </c>
      <c r="AI13" s="256" t="s">
        <v>3356</v>
      </c>
    </row>
    <row r="14" spans="1:35">
      <c r="A14" s="617"/>
      <c r="B14" s="235" t="str">
        <f t="shared" si="0"/>
        <v>BRW czarna szczotka - maksymalna zalecana długość profilu 2500 mm</v>
      </c>
      <c r="C14" s="228">
        <f t="shared" si="1"/>
        <v>54.706589999999998</v>
      </c>
      <c r="D14" s="228">
        <f t="shared" si="2"/>
        <v>32.289839999999998</v>
      </c>
      <c r="E14" s="228">
        <v>416.23567200000002</v>
      </c>
      <c r="F14" s="228">
        <v>213.92019000000002</v>
      </c>
      <c r="G14" s="228">
        <v>14.385832814371257</v>
      </c>
      <c r="H14" s="228">
        <v>7.4118395209580834</v>
      </c>
      <c r="I14" s="228">
        <v>54.706589999999998</v>
      </c>
      <c r="J14" s="228">
        <v>32.289839999999998</v>
      </c>
      <c r="K14" s="228">
        <v>5249.1292258064523</v>
      </c>
      <c r="L14" s="228">
        <v>2877.4413870967746</v>
      </c>
      <c r="M14" s="237" t="s">
        <v>3446</v>
      </c>
      <c r="N14" s="237" t="s">
        <v>3495</v>
      </c>
      <c r="O14" s="236" t="s">
        <v>3551</v>
      </c>
      <c r="P14" s="237" t="s">
        <v>3635</v>
      </c>
      <c r="Q14" s="267" t="s">
        <v>3294</v>
      </c>
      <c r="R14" s="390" t="s">
        <v>3917</v>
      </c>
      <c r="S14" s="191">
        <v>2500</v>
      </c>
      <c r="T14" s="191">
        <v>2500</v>
      </c>
      <c r="U14" s="334">
        <v>2700</v>
      </c>
      <c r="V14" s="334">
        <v>700</v>
      </c>
      <c r="AA14" s="237" t="s">
        <v>3599</v>
      </c>
      <c r="AB14" s="236" t="s">
        <v>3247</v>
      </c>
      <c r="AH14" s="256" t="s">
        <v>3793</v>
      </c>
      <c r="AI14" s="256" t="s">
        <v>3357</v>
      </c>
    </row>
    <row r="15" spans="1:35">
      <c r="A15" s="617"/>
      <c r="B15" s="235" t="str">
        <f t="shared" si="0"/>
        <v>BRW acier grata - maksymalna zalecana długość profilu 2500 mm</v>
      </c>
      <c r="C15" s="228">
        <f t="shared" si="1"/>
        <v>68.726501999999996</v>
      </c>
      <c r="D15" s="228">
        <f t="shared" si="2"/>
        <v>31.920480000000005</v>
      </c>
      <c r="E15" s="228">
        <v>522.90632160000007</v>
      </c>
      <c r="F15" s="228">
        <v>211.47318000000001</v>
      </c>
      <c r="G15" s="228">
        <v>18.072557029940121</v>
      </c>
      <c r="H15" s="228">
        <v>7.3270562874251493</v>
      </c>
      <c r="I15" s="228">
        <v>68.726501999999996</v>
      </c>
      <c r="J15" s="228">
        <v>31.920480000000005</v>
      </c>
      <c r="K15" s="228">
        <v>6594.3479612903238</v>
      </c>
      <c r="L15" s="228">
        <v>2844.5266451612906</v>
      </c>
      <c r="M15" s="237" t="s">
        <v>3447</v>
      </c>
      <c r="N15" s="237" t="s">
        <v>3496</v>
      </c>
      <c r="O15" s="236" t="s">
        <v>3552</v>
      </c>
      <c r="P15" s="237" t="s">
        <v>3636</v>
      </c>
      <c r="Q15" s="267" t="s">
        <v>3295</v>
      </c>
      <c r="R15" s="390" t="s">
        <v>3918</v>
      </c>
      <c r="S15" s="191">
        <v>2500</v>
      </c>
      <c r="T15" s="191">
        <v>2500</v>
      </c>
      <c r="U15" s="334">
        <v>2700</v>
      </c>
      <c r="V15" s="334">
        <v>700</v>
      </c>
      <c r="AA15" s="237" t="s">
        <v>3449</v>
      </c>
      <c r="AB15" s="236" t="s">
        <v>3248</v>
      </c>
      <c r="AH15" s="256" t="s">
        <v>399</v>
      </c>
      <c r="AI15" s="256" t="s">
        <v>3358</v>
      </c>
    </row>
    <row r="16" spans="1:35">
      <c r="A16" s="617"/>
      <c r="B16" s="235" t="str">
        <f t="shared" si="0"/>
        <v>BRW INOX (stal nierdzewna) - maksymalna zalecana długość profilu 2500 mm</v>
      </c>
      <c r="C16" s="228">
        <f t="shared" si="1"/>
        <v>58.97043</v>
      </c>
      <c r="D16" s="228">
        <f t="shared" si="2"/>
        <v>31.920480000000005</v>
      </c>
      <c r="E16" s="228">
        <v>448.67714399999994</v>
      </c>
      <c r="F16" s="228">
        <v>211.47318000000001</v>
      </c>
      <c r="G16" s="228">
        <v>15.507066826347303</v>
      </c>
      <c r="H16" s="228">
        <v>7.3270562874251493</v>
      </c>
      <c r="I16" s="228">
        <v>58.97043</v>
      </c>
      <c r="J16" s="228">
        <v>31.920480000000005</v>
      </c>
      <c r="K16" s="228">
        <v>5658.2471612903219</v>
      </c>
      <c r="L16" s="228">
        <v>2844.5266451612906</v>
      </c>
      <c r="M16" s="237" t="s">
        <v>3448</v>
      </c>
      <c r="N16" s="237" t="s">
        <v>3497</v>
      </c>
      <c r="O16" s="236" t="s">
        <v>3553</v>
      </c>
      <c r="P16" s="237" t="s">
        <v>3637</v>
      </c>
      <c r="Q16" s="267" t="s">
        <v>3296</v>
      </c>
      <c r="R16" s="390" t="s">
        <v>3919</v>
      </c>
      <c r="S16" s="191">
        <v>2500</v>
      </c>
      <c r="T16" s="191">
        <v>2500</v>
      </c>
      <c r="U16" s="334">
        <v>2700</v>
      </c>
      <c r="V16" s="334">
        <v>700</v>
      </c>
      <c r="AA16" s="236" t="s">
        <v>3450</v>
      </c>
      <c r="AB16" s="236" t="s">
        <v>3249</v>
      </c>
      <c r="AH16" s="256" t="s">
        <v>400</v>
      </c>
      <c r="AI16" s="256" t="s">
        <v>3359</v>
      </c>
    </row>
    <row r="17" spans="1:35">
      <c r="A17" s="617"/>
      <c r="B17" s="235" t="str">
        <f t="shared" si="0"/>
        <v>Corleone (elox.)- maksymalna zalecana długość profilu 1500 mm</v>
      </c>
      <c r="C17" s="228">
        <f t="shared" si="1"/>
        <v>61.184376</v>
      </c>
      <c r="D17" s="228">
        <f t="shared" si="2"/>
        <v>41.633999999999993</v>
      </c>
      <c r="E17" s="228">
        <v>452.05646400000001</v>
      </c>
      <c r="F17" s="228">
        <v>264.79223999999994</v>
      </c>
      <c r="G17" s="228">
        <v>15.623862035928143</v>
      </c>
      <c r="H17" s="228">
        <v>9.1744383233532911</v>
      </c>
      <c r="I17" s="228">
        <v>61.184376</v>
      </c>
      <c r="J17" s="228">
        <v>41.633999999999993</v>
      </c>
      <c r="K17" s="228">
        <v>5700.8636129032257</v>
      </c>
      <c r="L17" s="228">
        <v>3561.7215483870959</v>
      </c>
      <c r="M17" s="237" t="s">
        <v>3591</v>
      </c>
      <c r="N17" s="237" t="s">
        <v>3592</v>
      </c>
      <c r="O17" s="236" t="s">
        <v>3593</v>
      </c>
      <c r="P17" s="237" t="s">
        <v>3638</v>
      </c>
      <c r="Q17" s="267" t="s">
        <v>3594</v>
      </c>
      <c r="R17" s="390" t="s">
        <v>3920</v>
      </c>
      <c r="S17" s="191">
        <v>1500</v>
      </c>
      <c r="T17" s="191">
        <v>1500</v>
      </c>
      <c r="U17" s="334">
        <v>1500</v>
      </c>
      <c r="V17" s="334">
        <v>700</v>
      </c>
      <c r="AA17" s="237" t="s">
        <v>3451</v>
      </c>
      <c r="AB17" s="236" t="s">
        <v>3250</v>
      </c>
      <c r="AH17" s="256" t="s">
        <v>393</v>
      </c>
      <c r="AI17" s="256" t="s">
        <v>3360</v>
      </c>
    </row>
    <row r="18" spans="1:35">
      <c r="A18" s="617"/>
      <c r="B18" s="235" t="str">
        <f t="shared" si="0"/>
        <v>Corleone czarny matowy - maksymalna zalecana długość profilu 1500 mm</v>
      </c>
      <c r="C18" s="228">
        <f t="shared" si="1"/>
        <v>91.709133120000004</v>
      </c>
      <c r="D18" s="228">
        <f t="shared" si="2"/>
        <v>42.018750000000004</v>
      </c>
      <c r="E18" s="228">
        <v>677.58648768000012</v>
      </c>
      <c r="F18" s="228">
        <v>267.23924999999997</v>
      </c>
      <c r="G18" s="228">
        <v>23.418574102994015</v>
      </c>
      <c r="H18" s="228">
        <v>9.2592215568862262</v>
      </c>
      <c r="I18" s="228">
        <v>91.709133120000004</v>
      </c>
      <c r="J18" s="228">
        <v>42.018750000000004</v>
      </c>
      <c r="K18" s="228">
        <v>8545.0125367741948</v>
      </c>
      <c r="L18" s="228">
        <v>3594.6362903225804</v>
      </c>
      <c r="M18" s="237" t="s">
        <v>3595</v>
      </c>
      <c r="N18" s="237" t="s">
        <v>3596</v>
      </c>
      <c r="O18" s="236" t="s">
        <v>3597</v>
      </c>
      <c r="P18" s="237" t="s">
        <v>3639</v>
      </c>
      <c r="Q18" s="267" t="s">
        <v>3598</v>
      </c>
      <c r="R18" s="390" t="s">
        <v>3921</v>
      </c>
      <c r="S18" s="191">
        <v>1500</v>
      </c>
      <c r="T18" s="191">
        <v>1500</v>
      </c>
      <c r="U18" s="334">
        <v>1500</v>
      </c>
      <c r="V18" s="334">
        <v>700</v>
      </c>
      <c r="AA18" s="237" t="s">
        <v>3452</v>
      </c>
      <c r="AB18" s="236" t="s">
        <v>3251</v>
      </c>
      <c r="AH18" s="256" t="s">
        <v>943</v>
      </c>
      <c r="AI18" s="256" t="s">
        <v>3361</v>
      </c>
    </row>
    <row r="19" spans="1:35">
      <c r="A19" s="617"/>
      <c r="B19" s="235" t="str">
        <f t="shared" si="0"/>
        <v>Imola (elox.) - maksymalna zalecana długość profilu 2500 mm</v>
      </c>
      <c r="C19" s="228">
        <f t="shared" si="1"/>
        <v>59.9474898</v>
      </c>
      <c r="D19" s="228">
        <f t="shared" si="2"/>
        <v>41.633999999999993</v>
      </c>
      <c r="E19" s="228">
        <v>442.91781719999994</v>
      </c>
      <c r="F19" s="228">
        <v>264.79223999999994</v>
      </c>
      <c r="G19" s="228">
        <v>15.308014419161674</v>
      </c>
      <c r="H19" s="228">
        <v>9.1744383233532911</v>
      </c>
      <c r="I19" s="228">
        <v>59.9474898</v>
      </c>
      <c r="J19" s="228">
        <v>41.633999999999993</v>
      </c>
      <c r="K19" s="228">
        <v>5585.6165516129022</v>
      </c>
      <c r="L19" s="228">
        <v>3561.7215483870959</v>
      </c>
      <c r="M19" s="237" t="s">
        <v>3599</v>
      </c>
      <c r="N19" s="237" t="s">
        <v>3600</v>
      </c>
      <c r="O19" s="236" t="s">
        <v>3601</v>
      </c>
      <c r="P19" s="237" t="s">
        <v>3640</v>
      </c>
      <c r="Q19" s="267" t="s">
        <v>3602</v>
      </c>
      <c r="R19" s="390" t="s">
        <v>3922</v>
      </c>
      <c r="S19" s="191">
        <v>2500</v>
      </c>
      <c r="T19" s="191">
        <v>2500</v>
      </c>
      <c r="U19" s="334">
        <v>2700</v>
      </c>
      <c r="V19" s="334">
        <v>700</v>
      </c>
      <c r="AA19" s="238" t="s">
        <v>3603</v>
      </c>
      <c r="AB19" s="237" t="s">
        <v>3252</v>
      </c>
      <c r="AH19" s="256" t="s">
        <v>944</v>
      </c>
      <c r="AI19" s="256" t="s">
        <v>3362</v>
      </c>
    </row>
    <row r="20" spans="1:35">
      <c r="A20" s="617"/>
      <c r="B20" s="235" t="str">
        <f t="shared" si="0"/>
        <v>Imola Czarny matowy - maksymalna zalecana długość profilu 2500 mm</v>
      </c>
      <c r="C20" s="228">
        <f t="shared" si="1"/>
        <v>76.433425199999988</v>
      </c>
      <c r="D20" s="228">
        <f t="shared" si="2"/>
        <v>41.633999999999993</v>
      </c>
      <c r="E20" s="228">
        <v>564.72299279999993</v>
      </c>
      <c r="F20" s="228">
        <v>264.79223999999994</v>
      </c>
      <c r="G20" s="228">
        <v>19.517814323353292</v>
      </c>
      <c r="H20" s="228">
        <v>9.1744383233532911</v>
      </c>
      <c r="I20" s="228">
        <v>76.433425199999988</v>
      </c>
      <c r="J20" s="228">
        <v>41.633999999999993</v>
      </c>
      <c r="K20" s="228">
        <v>7121.6961096774194</v>
      </c>
      <c r="L20" s="228">
        <v>3561.7215483870959</v>
      </c>
      <c r="M20" s="237" t="s">
        <v>3449</v>
      </c>
      <c r="N20" s="237" t="s">
        <v>3498</v>
      </c>
      <c r="O20" s="236" t="s">
        <v>3554</v>
      </c>
      <c r="P20" s="237" t="s">
        <v>3641</v>
      </c>
      <c r="Q20" s="267" t="s">
        <v>3297</v>
      </c>
      <c r="R20" s="390" t="s">
        <v>3923</v>
      </c>
      <c r="S20" s="191">
        <v>2500</v>
      </c>
      <c r="T20" s="191">
        <v>2500</v>
      </c>
      <c r="U20" s="334">
        <v>2700</v>
      </c>
      <c r="V20" s="334">
        <v>700</v>
      </c>
      <c r="AA20" s="236" t="s">
        <v>3453</v>
      </c>
      <c r="AB20" s="236" t="s">
        <v>3253</v>
      </c>
      <c r="AH20" s="256" t="s">
        <v>3794</v>
      </c>
      <c r="AI20" s="256" t="s">
        <v>3363</v>
      </c>
    </row>
    <row r="21" spans="1:35">
      <c r="A21" s="617"/>
      <c r="B21" s="235" t="str">
        <f t="shared" si="0"/>
        <v>Imola bialy matowy RAL 9003 - maksymalna zalecana długość profilu 2500 mm</v>
      </c>
      <c r="C21" s="228">
        <f t="shared" si="1"/>
        <v>126.89529549840002</v>
      </c>
      <c r="D21" s="228">
        <f t="shared" si="2"/>
        <v>41.633999999999993</v>
      </c>
      <c r="E21" s="228">
        <v>937.55697665760022</v>
      </c>
      <c r="F21" s="228">
        <v>264.79223999999994</v>
      </c>
      <c r="G21" s="228">
        <v>32.40360888661079</v>
      </c>
      <c r="H21" s="228">
        <v>9.1744383233532911</v>
      </c>
      <c r="I21" s="228">
        <v>126.89529549840002</v>
      </c>
      <c r="J21" s="228">
        <v>41.633999999999993</v>
      </c>
      <c r="K21" s="228">
        <v>11823.488610154842</v>
      </c>
      <c r="L21" s="228">
        <v>3561.7215483870959</v>
      </c>
      <c r="M21" s="236" t="s">
        <v>3450</v>
      </c>
      <c r="N21" s="236" t="s">
        <v>3499</v>
      </c>
      <c r="O21" s="236" t="s">
        <v>3555</v>
      </c>
      <c r="P21" s="236" t="s">
        <v>3642</v>
      </c>
      <c r="Q21" s="267" t="s">
        <v>3298</v>
      </c>
      <c r="R21" s="390" t="s">
        <v>3924</v>
      </c>
      <c r="S21" s="191">
        <v>2500</v>
      </c>
      <c r="T21" s="191">
        <v>2500</v>
      </c>
      <c r="U21" s="334">
        <v>2700</v>
      </c>
      <c r="V21" s="334">
        <v>700</v>
      </c>
      <c r="AA21" s="236" t="s">
        <v>3454</v>
      </c>
      <c r="AB21" s="236" t="s">
        <v>3254</v>
      </c>
      <c r="AH21" s="256" t="s">
        <v>948</v>
      </c>
      <c r="AI21" s="256" t="s">
        <v>3364</v>
      </c>
    </row>
    <row r="22" spans="1:35">
      <c r="A22" s="617"/>
      <c r="B22" s="235" t="str">
        <f t="shared" si="0"/>
        <v>Modena (elox.) - maksymalna zalecana długość profilu 2500 mm</v>
      </c>
      <c r="C22" s="228">
        <f t="shared" si="1"/>
        <v>78.248831759999987</v>
      </c>
      <c r="D22" s="228">
        <f t="shared" si="2"/>
        <v>41.633999999999993</v>
      </c>
      <c r="E22" s="228">
        <v>578.13599663999992</v>
      </c>
      <c r="F22" s="228">
        <v>264.79223999999994</v>
      </c>
      <c r="G22" s="228">
        <v>19.981391195209579</v>
      </c>
      <c r="H22" s="228">
        <v>9.1744383233532911</v>
      </c>
      <c r="I22" s="228">
        <v>78.248831759999987</v>
      </c>
      <c r="J22" s="228">
        <v>41.633999999999993</v>
      </c>
      <c r="K22" s="228">
        <v>7290.846894193548</v>
      </c>
      <c r="L22" s="228">
        <v>3561.7215483870959</v>
      </c>
      <c r="M22" s="237" t="s">
        <v>3451</v>
      </c>
      <c r="N22" s="237" t="s">
        <v>3500</v>
      </c>
      <c r="O22" s="236" t="s">
        <v>3556</v>
      </c>
      <c r="P22" s="237" t="s">
        <v>3643</v>
      </c>
      <c r="Q22" s="267" t="s">
        <v>3185</v>
      </c>
      <c r="R22" s="390" t="s">
        <v>3925</v>
      </c>
      <c r="S22" s="191">
        <v>2500</v>
      </c>
      <c r="T22" s="191">
        <v>2500</v>
      </c>
      <c r="U22" s="334">
        <v>2700</v>
      </c>
      <c r="V22" s="334">
        <v>700</v>
      </c>
      <c r="AA22" s="237" t="s">
        <v>3457</v>
      </c>
      <c r="AB22" s="236" t="s">
        <v>3255</v>
      </c>
      <c r="AH22" s="256" t="s">
        <v>396</v>
      </c>
      <c r="AI22" s="256" t="s">
        <v>3365</v>
      </c>
    </row>
    <row r="23" spans="1:35">
      <c r="A23" s="617"/>
      <c r="B23" s="235" t="str">
        <f t="shared" si="0"/>
        <v>Modena Czarny matowy - maksymalna zalecana długość profilu 2500 mm</v>
      </c>
      <c r="C23" s="228">
        <f t="shared" si="1"/>
        <v>81.823138847999985</v>
      </c>
      <c r="D23" s="228">
        <f t="shared" si="2"/>
        <v>42.018750000000004</v>
      </c>
      <c r="E23" s="228">
        <v>604.54451347199995</v>
      </c>
      <c r="F23" s="228">
        <v>267.23924999999997</v>
      </c>
      <c r="G23" s="228">
        <v>20.894115725029938</v>
      </c>
      <c r="H23" s="228">
        <v>9.2592215568862262</v>
      </c>
      <c r="I23" s="228">
        <v>81.823138847999985</v>
      </c>
      <c r="J23" s="228">
        <v>42.018750000000004</v>
      </c>
      <c r="K23" s="228">
        <v>7623.8835050322587</v>
      </c>
      <c r="L23" s="228">
        <v>3594.6362903225804</v>
      </c>
      <c r="M23" s="237" t="s">
        <v>3452</v>
      </c>
      <c r="N23" s="237" t="s">
        <v>3501</v>
      </c>
      <c r="O23" s="236" t="s">
        <v>3557</v>
      </c>
      <c r="P23" s="237" t="s">
        <v>3644</v>
      </c>
      <c r="Q23" s="267" t="s">
        <v>3299</v>
      </c>
      <c r="R23" s="390" t="s">
        <v>3926</v>
      </c>
      <c r="S23" s="191">
        <v>2500</v>
      </c>
      <c r="T23" s="191">
        <v>2500</v>
      </c>
      <c r="U23" s="334">
        <v>2700</v>
      </c>
      <c r="V23" s="334">
        <v>700</v>
      </c>
      <c r="AA23" s="237" t="s">
        <v>3607</v>
      </c>
      <c r="AB23" s="236" t="s">
        <v>3256</v>
      </c>
      <c r="AH23" s="257" t="s">
        <v>3795</v>
      </c>
      <c r="AI23" s="256" t="s">
        <v>2709</v>
      </c>
    </row>
    <row r="24" spans="1:35">
      <c r="A24" s="617"/>
      <c r="B24" s="235" t="str">
        <f t="shared" si="0"/>
        <v>Verona złota - maksymalna zalecana długość profilu 2150 mm</v>
      </c>
      <c r="C24" s="228">
        <f t="shared" si="1"/>
        <v>91.780223039999996</v>
      </c>
      <c r="D24" s="228">
        <f t="shared" si="2"/>
        <v>33.250500000000002</v>
      </c>
      <c r="E24" s="228">
        <v>678.11173055999996</v>
      </c>
      <c r="F24" s="228">
        <v>211.47318000000001</v>
      </c>
      <c r="G24" s="228">
        <v>23.436727415568861</v>
      </c>
      <c r="H24" s="228">
        <v>7.3270562874251493</v>
      </c>
      <c r="I24" s="228">
        <v>91.780223039999996</v>
      </c>
      <c r="J24" s="228">
        <v>33.250500000000002</v>
      </c>
      <c r="K24" s="228">
        <v>8551.6363509677412</v>
      </c>
      <c r="L24" s="228">
        <v>2844.5266451612906</v>
      </c>
      <c r="M24" s="238" t="s">
        <v>3603</v>
      </c>
      <c r="N24" s="238" t="s">
        <v>3604</v>
      </c>
      <c r="O24" s="237" t="s">
        <v>3605</v>
      </c>
      <c r="P24" s="237" t="s">
        <v>3645</v>
      </c>
      <c r="Q24" s="236" t="s">
        <v>3606</v>
      </c>
      <c r="R24" s="390" t="s">
        <v>3927</v>
      </c>
      <c r="S24" s="191">
        <v>2150</v>
      </c>
      <c r="T24" s="191">
        <v>2150</v>
      </c>
      <c r="U24" s="334">
        <v>2150</v>
      </c>
      <c r="V24" s="334">
        <v>700</v>
      </c>
      <c r="AA24" s="238" t="s">
        <v>3611</v>
      </c>
      <c r="AB24" s="237" t="s">
        <v>3257</v>
      </c>
      <c r="AH24" s="257" t="s">
        <v>397</v>
      </c>
      <c r="AI24" s="256" t="s">
        <v>3366</v>
      </c>
    </row>
    <row r="25" spans="1:35">
      <c r="A25" s="617"/>
      <c r="B25" s="235" t="str">
        <f t="shared" si="0"/>
        <v>Modena czarna szczotka - maksymalna zalecana długość profilu 2500 mm</v>
      </c>
      <c r="C25" s="228">
        <f t="shared" si="1"/>
        <v>114.07305491999999</v>
      </c>
      <c r="D25" s="228">
        <f t="shared" si="2"/>
        <v>33.250500000000002</v>
      </c>
      <c r="E25" s="228">
        <v>842.82075287999987</v>
      </c>
      <c r="F25" s="228">
        <v>211.47318000000001</v>
      </c>
      <c r="G25" s="228">
        <v>29.129359300598797</v>
      </c>
      <c r="H25" s="228">
        <v>7.3270562874251493</v>
      </c>
      <c r="I25" s="228">
        <v>114.07305491999999</v>
      </c>
      <c r="J25" s="228">
        <v>33.250500000000002</v>
      </c>
      <c r="K25" s="228">
        <v>10628.774378709677</v>
      </c>
      <c r="L25" s="228">
        <v>2844.5266451612906</v>
      </c>
      <c r="M25" s="236" t="s">
        <v>3453</v>
      </c>
      <c r="N25" s="236" t="s">
        <v>3502</v>
      </c>
      <c r="O25" s="236" t="s">
        <v>3558</v>
      </c>
      <c r="P25" s="236" t="s">
        <v>3646</v>
      </c>
      <c r="Q25" s="267" t="s">
        <v>3300</v>
      </c>
      <c r="R25" s="390" t="s">
        <v>3928</v>
      </c>
      <c r="S25" s="191">
        <v>2500</v>
      </c>
      <c r="T25" s="191">
        <v>2500</v>
      </c>
      <c r="U25" s="334">
        <v>2700</v>
      </c>
      <c r="V25" s="334">
        <v>700</v>
      </c>
      <c r="AA25" s="237" t="s">
        <v>3460</v>
      </c>
      <c r="AB25" s="236" t="s">
        <v>3258</v>
      </c>
      <c r="AH25" s="257" t="s">
        <v>3796</v>
      </c>
      <c r="AI25" s="256" t="s">
        <v>3367</v>
      </c>
    </row>
    <row r="26" spans="1:35">
      <c r="A26" s="617"/>
      <c r="B26" s="235" t="str">
        <f t="shared" si="0"/>
        <v>Modena INOX (stal nierdzewna) - maksymalna zalecana długość profilu 2500 mm</v>
      </c>
      <c r="C26" s="228">
        <f t="shared" si="1"/>
        <v>103.6279332</v>
      </c>
      <c r="D26" s="228">
        <f t="shared" si="2"/>
        <v>41.633999999999993</v>
      </c>
      <c r="E26" s="228">
        <v>765.64770480000004</v>
      </c>
      <c r="F26" s="228">
        <v>264.79223999999994</v>
      </c>
      <c r="G26" s="228">
        <v>26.462123784431139</v>
      </c>
      <c r="H26" s="228">
        <v>9.1744383233532911</v>
      </c>
      <c r="I26" s="228">
        <v>103.6279332</v>
      </c>
      <c r="J26" s="228">
        <v>41.633999999999993</v>
      </c>
      <c r="K26" s="228">
        <v>9655.5485612903231</v>
      </c>
      <c r="L26" s="228">
        <v>3561.7215483870959</v>
      </c>
      <c r="M26" s="236" t="s">
        <v>3454</v>
      </c>
      <c r="N26" s="236" t="s">
        <v>3503</v>
      </c>
      <c r="O26" s="236" t="s">
        <v>3559</v>
      </c>
      <c r="P26" s="236" t="s">
        <v>3647</v>
      </c>
      <c r="Q26" s="267" t="s">
        <v>3301</v>
      </c>
      <c r="R26" s="390" t="s">
        <v>3929</v>
      </c>
      <c r="S26" s="191">
        <v>2500</v>
      </c>
      <c r="T26" s="191">
        <v>2500</v>
      </c>
      <c r="U26" s="334">
        <v>2700</v>
      </c>
      <c r="V26" s="334">
        <v>700</v>
      </c>
      <c r="AA26" s="237" t="s">
        <v>3461</v>
      </c>
      <c r="AB26" s="236" t="s">
        <v>3259</v>
      </c>
      <c r="AH26" s="257" t="s">
        <v>398</v>
      </c>
      <c r="AI26" s="256" t="s">
        <v>3368</v>
      </c>
    </row>
    <row r="27" spans="1:35">
      <c r="A27" s="617"/>
      <c r="B27" s="235"/>
      <c r="C27" s="228">
        <f t="shared" si="1"/>
        <v>69.827028479999996</v>
      </c>
      <c r="D27" s="228">
        <f t="shared" si="2"/>
        <v>41.633999999999993</v>
      </c>
      <c r="E27" s="228">
        <v>515.91209472000003</v>
      </c>
      <c r="F27" s="228">
        <v>264.79223999999994</v>
      </c>
      <c r="G27" s="228">
        <v>17.830824316167664</v>
      </c>
      <c r="H27" s="228">
        <v>9.1744383233532911</v>
      </c>
      <c r="I27" s="228">
        <v>69.827028479999996</v>
      </c>
      <c r="J27" s="228">
        <v>41.633999999999993</v>
      </c>
      <c r="K27" s="228">
        <v>6506.1440825806449</v>
      </c>
      <c r="L27" s="228">
        <v>3561.7215483870959</v>
      </c>
      <c r="M27" s="237" t="s">
        <v>3455</v>
      </c>
      <c r="N27" s="236" t="s">
        <v>3504</v>
      </c>
      <c r="O27" s="236" t="s">
        <v>3560</v>
      </c>
      <c r="P27" s="236" t="s">
        <v>3648</v>
      </c>
      <c r="Q27" s="267" t="s">
        <v>3186</v>
      </c>
      <c r="R27" s="390" t="s">
        <v>3930</v>
      </c>
      <c r="S27" s="191">
        <v>2500</v>
      </c>
      <c r="T27" s="191">
        <v>2500</v>
      </c>
      <c r="U27" s="334">
        <v>2700</v>
      </c>
      <c r="V27" s="334">
        <v>700</v>
      </c>
      <c r="AA27" s="237" t="s">
        <v>3462</v>
      </c>
      <c r="AB27" s="236" t="s">
        <v>3260</v>
      </c>
      <c r="AH27" s="257" t="s">
        <v>3797</v>
      </c>
      <c r="AI27" s="256" t="s">
        <v>3369</v>
      </c>
    </row>
    <row r="28" spans="1:35">
      <c r="A28" s="617"/>
      <c r="B28" s="235"/>
      <c r="C28" s="228">
        <f t="shared" si="1"/>
        <v>81.272505600000002</v>
      </c>
      <c r="D28" s="228">
        <f t="shared" si="2"/>
        <v>42.018750000000004</v>
      </c>
      <c r="E28" s="228">
        <v>600.47619840000004</v>
      </c>
      <c r="F28" s="228">
        <v>267.23924999999997</v>
      </c>
      <c r="G28" s="228">
        <v>20.753507640718563</v>
      </c>
      <c r="H28" s="228">
        <v>9.2592215568862262</v>
      </c>
      <c r="I28" s="228">
        <v>81.272505600000002</v>
      </c>
      <c r="J28" s="228">
        <v>42.018750000000004</v>
      </c>
      <c r="K28" s="228">
        <v>7572.5781677419354</v>
      </c>
      <c r="L28" s="228">
        <v>3594.6362903225804</v>
      </c>
      <c r="M28" s="237" t="s">
        <v>3456</v>
      </c>
      <c r="N28" s="236" t="s">
        <v>3505</v>
      </c>
      <c r="O28" s="236" t="s">
        <v>3561</v>
      </c>
      <c r="P28" s="236" t="s">
        <v>3649</v>
      </c>
      <c r="Q28" s="267" t="s">
        <v>3302</v>
      </c>
      <c r="R28" s="390" t="s">
        <v>3931</v>
      </c>
      <c r="S28" s="191">
        <v>2500</v>
      </c>
      <c r="T28" s="191">
        <v>2500</v>
      </c>
      <c r="U28" s="334">
        <v>2700</v>
      </c>
      <c r="V28" s="334">
        <v>700</v>
      </c>
      <c r="AA28" s="237" t="s">
        <v>3463</v>
      </c>
      <c r="AB28" s="236" t="s">
        <v>3261</v>
      </c>
      <c r="AH28" s="257" t="s">
        <v>35</v>
      </c>
      <c r="AI28" s="256" t="s">
        <v>3370</v>
      </c>
    </row>
    <row r="29" spans="1:35">
      <c r="A29" s="617"/>
      <c r="B29" s="235" t="str">
        <f t="shared" si="0"/>
        <v>Pisa (elox.) - maksymalna zalecana długość profilu 2500 mm</v>
      </c>
      <c r="C29" s="228">
        <f t="shared" si="1"/>
        <v>62.988596351999995</v>
      </c>
      <c r="D29" s="228">
        <f t="shared" si="2"/>
        <v>41.633999999999993</v>
      </c>
      <c r="E29" s="228">
        <v>465.386819328</v>
      </c>
      <c r="F29" s="228">
        <v>264.79223999999994</v>
      </c>
      <c r="G29" s="228">
        <v>16.084582430658681</v>
      </c>
      <c r="H29" s="228">
        <v>9.1744383233532911</v>
      </c>
      <c r="I29" s="228">
        <v>62.988596351999995</v>
      </c>
      <c r="J29" s="228">
        <v>41.633999999999993</v>
      </c>
      <c r="K29" s="228">
        <v>5868.9721207741941</v>
      </c>
      <c r="L29" s="228">
        <v>3561.7215483870959</v>
      </c>
      <c r="M29" s="237" t="s">
        <v>3457</v>
      </c>
      <c r="N29" s="236" t="s">
        <v>3506</v>
      </c>
      <c r="O29" s="236" t="s">
        <v>3562</v>
      </c>
      <c r="P29" s="236" t="s">
        <v>3650</v>
      </c>
      <c r="Q29" s="267" t="s">
        <v>3187</v>
      </c>
      <c r="R29" s="390" t="s">
        <v>3932</v>
      </c>
      <c r="S29" s="191">
        <v>2500</v>
      </c>
      <c r="T29" s="191">
        <v>2500</v>
      </c>
      <c r="U29" s="334">
        <v>2700</v>
      </c>
      <c r="V29" s="334">
        <v>700</v>
      </c>
      <c r="AA29" s="236" t="s">
        <v>3464</v>
      </c>
      <c r="AB29" s="236" t="s">
        <v>3262</v>
      </c>
      <c r="AH29" s="257" t="s">
        <v>29</v>
      </c>
      <c r="AI29" s="256" t="s">
        <v>3371</v>
      </c>
    </row>
    <row r="30" spans="1:35">
      <c r="A30" s="617"/>
      <c r="B30" s="235" t="str">
        <f t="shared" si="0"/>
        <v>Pisa Czarny matowy - maksymalna zalecana długość profilu 2500 mm</v>
      </c>
      <c r="C30" s="228">
        <f t="shared" si="1"/>
        <v>80.318515464000015</v>
      </c>
      <c r="D30" s="228">
        <f t="shared" si="2"/>
        <v>42.018750000000004</v>
      </c>
      <c r="E30" s="228">
        <v>593.4277092960001</v>
      </c>
      <c r="F30" s="228">
        <v>267.23924999999997</v>
      </c>
      <c r="G30" s="228">
        <v>20.509899529580842</v>
      </c>
      <c r="H30" s="228">
        <v>9.2592215568862262</v>
      </c>
      <c r="I30" s="228">
        <v>80.318515464000015</v>
      </c>
      <c r="J30" s="228">
        <v>42.018750000000004</v>
      </c>
      <c r="K30" s="228">
        <v>7483.6899905806467</v>
      </c>
      <c r="L30" s="228">
        <v>3594.6362903225804</v>
      </c>
      <c r="M30" s="237" t="s">
        <v>3607</v>
      </c>
      <c r="N30" s="237" t="s">
        <v>3608</v>
      </c>
      <c r="O30" s="236" t="s">
        <v>3609</v>
      </c>
      <c r="P30" s="237" t="s">
        <v>3651</v>
      </c>
      <c r="Q30" s="267" t="s">
        <v>3610</v>
      </c>
      <c r="R30" s="390" t="s">
        <v>3933</v>
      </c>
      <c r="S30" s="191">
        <v>2500</v>
      </c>
      <c r="T30" s="191">
        <v>2500</v>
      </c>
      <c r="U30" s="334">
        <v>2700</v>
      </c>
      <c r="V30" s="334">
        <v>700</v>
      </c>
      <c r="AA30" s="236" t="s">
        <v>3465</v>
      </c>
      <c r="AB30" s="236" t="s">
        <v>3263</v>
      </c>
      <c r="AH30" s="257" t="s">
        <v>3798</v>
      </c>
      <c r="AI30" s="256" t="s">
        <v>3372</v>
      </c>
    </row>
    <row r="31" spans="1:35">
      <c r="A31" s="617"/>
      <c r="B31" s="235" t="str">
        <f t="shared" si="0"/>
        <v>Vivaro złota - maksymalna zalecana zalecana długość profilu 2150 mm</v>
      </c>
      <c r="C31" s="228">
        <f t="shared" si="1"/>
        <v>138.90565260000002</v>
      </c>
      <c r="D31" s="228">
        <f t="shared" si="2"/>
        <v>41.633999999999993</v>
      </c>
      <c r="E31" s="228">
        <v>1026.2946564000001</v>
      </c>
      <c r="F31" s="228">
        <v>264.79223999999994</v>
      </c>
      <c r="G31" s="228">
        <v>35.470538299401206</v>
      </c>
      <c r="H31" s="228">
        <v>9.1744383233532911</v>
      </c>
      <c r="I31" s="228">
        <v>138.90565260000002</v>
      </c>
      <c r="J31" s="228">
        <v>41.633999999999993</v>
      </c>
      <c r="K31" s="228">
        <v>12942.55547419355</v>
      </c>
      <c r="L31" s="228">
        <v>3561.7215483870959</v>
      </c>
      <c r="M31" s="238" t="s">
        <v>3611</v>
      </c>
      <c r="N31" s="238" t="s">
        <v>3612</v>
      </c>
      <c r="O31" s="237" t="s">
        <v>3613</v>
      </c>
      <c r="P31" s="237" t="s">
        <v>3652</v>
      </c>
      <c r="Q31" s="236" t="s">
        <v>3614</v>
      </c>
      <c r="R31" s="390" t="s">
        <v>3934</v>
      </c>
      <c r="S31" s="191">
        <v>2150</v>
      </c>
      <c r="T31" s="191">
        <v>2150</v>
      </c>
      <c r="U31" s="334">
        <v>2150</v>
      </c>
      <c r="V31" s="334">
        <v>700</v>
      </c>
      <c r="AA31" s="237" t="s">
        <v>3466</v>
      </c>
      <c r="AB31" s="236" t="s">
        <v>3264</v>
      </c>
      <c r="AH31" s="256" t="s">
        <v>3762</v>
      </c>
      <c r="AI31" s="256" t="s">
        <v>3373</v>
      </c>
    </row>
    <row r="32" spans="1:35">
      <c r="A32" s="617"/>
      <c r="B32" s="235"/>
      <c r="C32" s="228">
        <f t="shared" si="1"/>
        <v>69.827028479999996</v>
      </c>
      <c r="D32" s="228">
        <f t="shared" si="2"/>
        <v>41.633999999999993</v>
      </c>
      <c r="E32" s="228">
        <v>515.91209472000003</v>
      </c>
      <c r="F32" s="228">
        <v>264.79223999999994</v>
      </c>
      <c r="G32" s="228">
        <v>17.830824316167664</v>
      </c>
      <c r="H32" s="228">
        <v>9.1744383233532911</v>
      </c>
      <c r="I32" s="228">
        <v>69.827028479999996</v>
      </c>
      <c r="J32" s="228">
        <v>41.633999999999993</v>
      </c>
      <c r="K32" s="228">
        <v>6506.1440825806449</v>
      </c>
      <c r="L32" s="228">
        <v>3561.7215483870959</v>
      </c>
      <c r="M32" s="237" t="s">
        <v>3458</v>
      </c>
      <c r="N32" s="237" t="s">
        <v>3507</v>
      </c>
      <c r="O32" s="236" t="s">
        <v>3563</v>
      </c>
      <c r="P32" s="237" t="s">
        <v>3653</v>
      </c>
      <c r="Q32" s="267" t="s">
        <v>3188</v>
      </c>
      <c r="R32" s="390" t="s">
        <v>3935</v>
      </c>
      <c r="S32" s="191">
        <v>2500</v>
      </c>
      <c r="T32" s="191">
        <v>2500</v>
      </c>
      <c r="U32" s="334">
        <v>2700</v>
      </c>
      <c r="V32" s="334">
        <v>700</v>
      </c>
      <c r="AA32" s="237" t="s">
        <v>3467</v>
      </c>
      <c r="AB32" s="236" t="s">
        <v>3265</v>
      </c>
      <c r="AH32" s="257" t="s">
        <v>32</v>
      </c>
      <c r="AI32" s="256" t="s">
        <v>3374</v>
      </c>
    </row>
    <row r="33" spans="1:35">
      <c r="A33" s="617"/>
      <c r="B33" s="235"/>
      <c r="C33" s="228">
        <f t="shared" si="1"/>
        <v>81.272505600000002</v>
      </c>
      <c r="D33" s="228">
        <f t="shared" si="2"/>
        <v>42.018750000000004</v>
      </c>
      <c r="E33" s="228">
        <v>600.47619840000004</v>
      </c>
      <c r="F33" s="228">
        <v>267.23924999999997</v>
      </c>
      <c r="G33" s="228">
        <v>20.753507640718563</v>
      </c>
      <c r="H33" s="228">
        <v>9.2592215568862262</v>
      </c>
      <c r="I33" s="228">
        <v>81.272505600000002</v>
      </c>
      <c r="J33" s="228">
        <v>42.018750000000004</v>
      </c>
      <c r="K33" s="228">
        <v>7572.5781677419354</v>
      </c>
      <c r="L33" s="228">
        <v>3594.6362903225804</v>
      </c>
      <c r="M33" s="237" t="s">
        <v>3459</v>
      </c>
      <c r="N33" s="237" t="s">
        <v>3508</v>
      </c>
      <c r="O33" s="236" t="s">
        <v>3564</v>
      </c>
      <c r="P33" s="237" t="s">
        <v>3654</v>
      </c>
      <c r="Q33" s="267" t="s">
        <v>3303</v>
      </c>
      <c r="R33" s="390" t="s">
        <v>3936</v>
      </c>
      <c r="S33" s="191">
        <v>2500</v>
      </c>
      <c r="T33" s="191">
        <v>2500</v>
      </c>
      <c r="U33" s="334">
        <v>2700</v>
      </c>
      <c r="V33" s="334">
        <v>700</v>
      </c>
      <c r="AA33" s="235" t="s">
        <v>3468</v>
      </c>
      <c r="AB33" s="236" t="s">
        <v>3266</v>
      </c>
      <c r="AH33" s="257" t="s">
        <v>36</v>
      </c>
      <c r="AI33" s="256" t="s">
        <v>3375</v>
      </c>
    </row>
    <row r="34" spans="1:35">
      <c r="A34" s="617"/>
      <c r="B34" s="235" t="str">
        <f t="shared" si="0"/>
        <v>Verona (elox.) - maksymalna zalecana zalecana długość profilu 2500 mm</v>
      </c>
      <c r="C34" s="228">
        <f t="shared" si="1"/>
        <v>42.34946759999999</v>
      </c>
      <c r="D34" s="228">
        <f t="shared" si="2"/>
        <v>33.250500000000002</v>
      </c>
      <c r="E34" s="228">
        <v>312.89606639999994</v>
      </c>
      <c r="F34" s="228">
        <v>211.47318000000001</v>
      </c>
      <c r="G34" s="228">
        <v>10.81423530538922</v>
      </c>
      <c r="H34" s="228">
        <v>7.3270562874251493</v>
      </c>
      <c r="I34" s="228">
        <v>42.34946759999999</v>
      </c>
      <c r="J34" s="228">
        <v>33.250500000000002</v>
      </c>
      <c r="K34" s="228">
        <v>3945.9181354838706</v>
      </c>
      <c r="L34" s="228">
        <v>2844.5266451612906</v>
      </c>
      <c r="M34" s="237" t="s">
        <v>3460</v>
      </c>
      <c r="N34" s="237" t="s">
        <v>3509</v>
      </c>
      <c r="O34" s="236" t="s">
        <v>3565</v>
      </c>
      <c r="P34" s="237" t="s">
        <v>3655</v>
      </c>
      <c r="Q34" s="267" t="s">
        <v>3189</v>
      </c>
      <c r="R34" s="390" t="s">
        <v>3937</v>
      </c>
      <c r="S34" s="191">
        <v>2500</v>
      </c>
      <c r="T34" s="191">
        <v>2500</v>
      </c>
      <c r="U34" s="334">
        <v>2500</v>
      </c>
      <c r="V34" s="334">
        <v>700</v>
      </c>
      <c r="AA34" s="237" t="s">
        <v>3469</v>
      </c>
      <c r="AB34" s="236" t="s">
        <v>3267</v>
      </c>
      <c r="AH34" s="257" t="s">
        <v>38</v>
      </c>
      <c r="AI34" s="256" t="s">
        <v>3376</v>
      </c>
    </row>
    <row r="35" spans="1:35">
      <c r="A35" s="617"/>
      <c r="B35" s="235" t="str">
        <f t="shared" si="0"/>
        <v>Verona szczotkowany - maksymalna zalecana zalecana długość profilu 2500 mm</v>
      </c>
      <c r="C35" s="228">
        <f t="shared" si="1"/>
        <v>64.786570199999986</v>
      </c>
      <c r="D35" s="228">
        <f t="shared" si="2"/>
        <v>33.250500000000002</v>
      </c>
      <c r="E35" s="228">
        <v>478.67102279999989</v>
      </c>
      <c r="F35" s="228">
        <v>211.47318000000001</v>
      </c>
      <c r="G35" s="228">
        <v>16.543707736526944</v>
      </c>
      <c r="H35" s="228">
        <v>7.3270562874251493</v>
      </c>
      <c r="I35" s="228">
        <v>64.786570199999986</v>
      </c>
      <c r="J35" s="228">
        <v>33.250500000000002</v>
      </c>
      <c r="K35" s="228">
        <v>6036.4986096774182</v>
      </c>
      <c r="L35" s="228">
        <v>2844.5266451612906</v>
      </c>
      <c r="M35" s="237" t="s">
        <v>3461</v>
      </c>
      <c r="N35" s="237" t="s">
        <v>3510</v>
      </c>
      <c r="O35" s="236" t="s">
        <v>3566</v>
      </c>
      <c r="P35" s="237" t="s">
        <v>3656</v>
      </c>
      <c r="Q35" s="267" t="s">
        <v>3304</v>
      </c>
      <c r="R35" s="390" t="s">
        <v>3938</v>
      </c>
      <c r="S35" s="191">
        <v>2500</v>
      </c>
      <c r="T35" s="191">
        <v>2500</v>
      </c>
      <c r="U35" s="334">
        <v>2500</v>
      </c>
      <c r="V35" s="334">
        <v>700</v>
      </c>
      <c r="AA35" s="237" t="s">
        <v>3470</v>
      </c>
      <c r="AB35" s="236" t="s">
        <v>3268</v>
      </c>
      <c r="AH35" s="257" t="s">
        <v>37</v>
      </c>
      <c r="AI35" s="256" t="s">
        <v>3377</v>
      </c>
    </row>
    <row r="36" spans="1:35">
      <c r="A36" s="617"/>
      <c r="B36" s="235" t="str">
        <f t="shared" si="0"/>
        <v>Verona czarny połysk - maksymalna zalecana zalecana długość profilu 2500 mm</v>
      </c>
      <c r="C36" s="228">
        <f t="shared" si="1"/>
        <v>90.422719200000003</v>
      </c>
      <c r="D36" s="228">
        <f t="shared" si="2"/>
        <v>33.635249999999999</v>
      </c>
      <c r="E36" s="228">
        <v>668.08190880000006</v>
      </c>
      <c r="F36" s="228">
        <v>213.92019000000002</v>
      </c>
      <c r="G36" s="228">
        <v>23.090079233532936</v>
      </c>
      <c r="H36" s="228">
        <v>7.4118395209580834</v>
      </c>
      <c r="I36" s="228">
        <v>90.422719200000003</v>
      </c>
      <c r="J36" s="228">
        <v>33.635249999999999</v>
      </c>
      <c r="K36" s="228">
        <v>8425.1507225806472</v>
      </c>
      <c r="L36" s="228">
        <v>2877.4413870967746</v>
      </c>
      <c r="M36" s="237" t="s">
        <v>3462</v>
      </c>
      <c r="N36" s="237" t="s">
        <v>3511</v>
      </c>
      <c r="O36" s="236" t="s">
        <v>3567</v>
      </c>
      <c r="P36" s="237" t="s">
        <v>3657</v>
      </c>
      <c r="Q36" s="267" t="s">
        <v>3305</v>
      </c>
      <c r="R36" s="390" t="s">
        <v>3939</v>
      </c>
      <c r="S36" s="191">
        <v>2500</v>
      </c>
      <c r="T36" s="191">
        <v>2500</v>
      </c>
      <c r="U36" s="334">
        <v>2500</v>
      </c>
      <c r="V36" s="334">
        <v>700</v>
      </c>
      <c r="AA36" s="327" t="s">
        <v>3471</v>
      </c>
      <c r="AB36" s="267" t="s">
        <v>3269</v>
      </c>
      <c r="AH36" s="257" t="s">
        <v>559</v>
      </c>
      <c r="AI36" s="256" t="s">
        <v>3378</v>
      </c>
    </row>
    <row r="37" spans="1:35">
      <c r="A37" s="617"/>
      <c r="B37" s="235" t="str">
        <f t="shared" si="0"/>
        <v>Verona czarny matowy - maksymalna zalecana zalecana długość profilu 2500 mm</v>
      </c>
      <c r="C37" s="228">
        <f t="shared" si="1"/>
        <v>52.192938599999998</v>
      </c>
      <c r="D37" s="228">
        <f t="shared" si="2"/>
        <v>33.635249999999999</v>
      </c>
      <c r="E37" s="228">
        <v>385.62386039999996</v>
      </c>
      <c r="F37" s="228">
        <v>213.92019000000002</v>
      </c>
      <c r="G37" s="228">
        <v>13.327835065868262</v>
      </c>
      <c r="H37" s="228">
        <v>7.4118395209580834</v>
      </c>
      <c r="I37" s="228">
        <v>52.192938599999998</v>
      </c>
      <c r="J37" s="228">
        <v>33.635249999999999</v>
      </c>
      <c r="K37" s="228">
        <v>4863.0850548387098</v>
      </c>
      <c r="L37" s="228">
        <v>2877.4413870967746</v>
      </c>
      <c r="M37" s="237" t="s">
        <v>3463</v>
      </c>
      <c r="N37" s="237" t="s">
        <v>3512</v>
      </c>
      <c r="O37" s="236" t="s">
        <v>3568</v>
      </c>
      <c r="P37" s="237" t="s">
        <v>3658</v>
      </c>
      <c r="Q37" s="267" t="s">
        <v>3306</v>
      </c>
      <c r="R37" s="390" t="s">
        <v>3940</v>
      </c>
      <c r="S37" s="191">
        <v>2500</v>
      </c>
      <c r="T37" s="191">
        <v>2500</v>
      </c>
      <c r="U37" s="334">
        <v>2500</v>
      </c>
      <c r="V37" s="334">
        <v>700</v>
      </c>
      <c r="AA37" s="237" t="s">
        <v>3472</v>
      </c>
      <c r="AB37" s="236" t="s">
        <v>3270</v>
      </c>
      <c r="AH37" s="257" t="s">
        <v>30</v>
      </c>
      <c r="AI37" s="256" t="s">
        <v>3379</v>
      </c>
    </row>
    <row r="38" spans="1:35">
      <c r="A38" s="617"/>
      <c r="B38" s="235" t="str">
        <f t="shared" si="0"/>
        <v>Verona braz - maksymalna zalecana zalecana długość profilu 2500 mm</v>
      </c>
      <c r="C38" s="228">
        <f t="shared" si="1"/>
        <v>54.280656143999991</v>
      </c>
      <c r="D38" s="228">
        <f t="shared" si="2"/>
        <v>33.250500000000002</v>
      </c>
      <c r="E38" s="228">
        <v>401.04881481599995</v>
      </c>
      <c r="F38" s="228">
        <v>211.47318000000001</v>
      </c>
      <c r="G38" s="228">
        <v>13.860948468502993</v>
      </c>
      <c r="H38" s="228">
        <v>7.3270562874251493</v>
      </c>
      <c r="I38" s="228">
        <v>54.280656143999991</v>
      </c>
      <c r="J38" s="228">
        <v>33.250500000000002</v>
      </c>
      <c r="K38" s="228">
        <v>5057.6084570322582</v>
      </c>
      <c r="L38" s="228">
        <v>2844.5266451612906</v>
      </c>
      <c r="M38" s="236" t="s">
        <v>3464</v>
      </c>
      <c r="N38" s="236" t="s">
        <v>3513</v>
      </c>
      <c r="O38" s="236" t="s">
        <v>3569</v>
      </c>
      <c r="P38" s="236" t="s">
        <v>3659</v>
      </c>
      <c r="Q38" s="267" t="s">
        <v>3307</v>
      </c>
      <c r="R38" s="390" t="s">
        <v>3941</v>
      </c>
      <c r="S38" s="191">
        <v>2500</v>
      </c>
      <c r="T38" s="191">
        <v>2500</v>
      </c>
      <c r="U38" s="334">
        <v>2500</v>
      </c>
      <c r="V38" s="334">
        <v>700</v>
      </c>
      <c r="AA38" s="236" t="s">
        <v>3473</v>
      </c>
      <c r="AB38" s="236" t="s">
        <v>3271</v>
      </c>
      <c r="AH38" s="257" t="s">
        <v>3799</v>
      </c>
      <c r="AI38" s="256" t="s">
        <v>3380</v>
      </c>
    </row>
    <row r="39" spans="1:35">
      <c r="A39" s="617"/>
      <c r="B39" s="235" t="str">
        <f t="shared" si="0"/>
        <v>Verona szampański - maksymalna zalecana zalecana długość profilu 2500 mm</v>
      </c>
      <c r="C39" s="228">
        <f t="shared" si="1"/>
        <v>56.687572656000007</v>
      </c>
      <c r="D39" s="228">
        <f t="shared" si="2"/>
        <v>33.250500000000002</v>
      </c>
      <c r="E39" s="228">
        <v>418.83214838400011</v>
      </c>
      <c r="F39" s="228">
        <v>211.47318000000001</v>
      </c>
      <c r="G39" s="228">
        <v>14.475571579401201</v>
      </c>
      <c r="H39" s="228">
        <v>7.3270562874251493</v>
      </c>
      <c r="I39" s="228">
        <v>56.687572656000007</v>
      </c>
      <c r="J39" s="228">
        <v>33.250500000000002</v>
      </c>
      <c r="K39" s="228">
        <v>5281.8732720000016</v>
      </c>
      <c r="L39" s="228">
        <v>2844.5266451612906</v>
      </c>
      <c r="M39" s="236" t="s">
        <v>3465</v>
      </c>
      <c r="N39" s="236" t="s">
        <v>3514</v>
      </c>
      <c r="O39" s="236" t="s">
        <v>3570</v>
      </c>
      <c r="P39" s="236" t="s">
        <v>3660</v>
      </c>
      <c r="Q39" s="267" t="s">
        <v>3190</v>
      </c>
      <c r="R39" s="390" t="s">
        <v>3942</v>
      </c>
      <c r="S39" s="191">
        <v>2500</v>
      </c>
      <c r="T39" s="191">
        <v>2500</v>
      </c>
      <c r="U39" s="334">
        <v>2500</v>
      </c>
      <c r="V39" s="334">
        <v>700</v>
      </c>
      <c r="AA39" s="236" t="s">
        <v>3474</v>
      </c>
      <c r="AB39" s="236" t="s">
        <v>3320</v>
      </c>
      <c r="AH39" s="257" t="s">
        <v>3800</v>
      </c>
      <c r="AI39" s="256" t="s">
        <v>3381</v>
      </c>
    </row>
    <row r="40" spans="1:35">
      <c r="A40" s="617"/>
      <c r="B40" s="235" t="str">
        <f t="shared" si="0"/>
        <v>Verona Inox szczotkowany - maksymalna zalecana zalecana długość profilu 2500 mm</v>
      </c>
      <c r="C40" s="228">
        <f t="shared" si="1"/>
        <v>69.336508032000012</v>
      </c>
      <c r="D40" s="228">
        <f t="shared" si="2"/>
        <v>33.250500000000002</v>
      </c>
      <c r="E40" s="228">
        <v>512.287918848</v>
      </c>
      <c r="F40" s="228">
        <v>211.47318000000001</v>
      </c>
      <c r="G40" s="228">
        <v>17.705566459401197</v>
      </c>
      <c r="H40" s="228">
        <v>7.3270562874251493</v>
      </c>
      <c r="I40" s="228">
        <v>69.336508032000012</v>
      </c>
      <c r="J40" s="228">
        <v>33.250500000000002</v>
      </c>
      <c r="K40" s="228">
        <v>6460.4397646451625</v>
      </c>
      <c r="L40" s="228">
        <v>2844.5266451612906</v>
      </c>
      <c r="M40" s="237" t="s">
        <v>3466</v>
      </c>
      <c r="N40" s="237" t="s">
        <v>3515</v>
      </c>
      <c r="O40" s="236" t="s">
        <v>3571</v>
      </c>
      <c r="P40" s="237" t="s">
        <v>3661</v>
      </c>
      <c r="Q40" s="267" t="s">
        <v>3308</v>
      </c>
      <c r="R40" s="390" t="s">
        <v>3943</v>
      </c>
      <c r="S40" s="191">
        <v>2500</v>
      </c>
      <c r="T40" s="191">
        <v>2500</v>
      </c>
      <c r="U40" s="334">
        <v>2500</v>
      </c>
      <c r="V40" s="334">
        <v>700</v>
      </c>
      <c r="AA40" s="312" t="s">
        <v>3475</v>
      </c>
      <c r="AB40" s="267" t="s">
        <v>3318</v>
      </c>
      <c r="AH40" s="257" t="s">
        <v>33</v>
      </c>
      <c r="AI40" s="256" t="s">
        <v>33</v>
      </c>
    </row>
    <row r="41" spans="1:35">
      <c r="A41" s="617"/>
      <c r="B41" s="235" t="str">
        <f t="shared" si="0"/>
        <v>Verona Inox Acier szczotkowany - maksymalna zalecana zalecana długość profilu 2500 mm</v>
      </c>
      <c r="C41" s="228">
        <f t="shared" si="1"/>
        <v>70.07499378</v>
      </c>
      <c r="D41" s="228">
        <f t="shared" si="2"/>
        <v>33.250500000000002</v>
      </c>
      <c r="E41" s="228">
        <v>517.74416891999999</v>
      </c>
      <c r="F41" s="228">
        <v>211.47318000000001</v>
      </c>
      <c r="G41" s="228">
        <v>17.894144004790419</v>
      </c>
      <c r="H41" s="228">
        <v>7.3270562874251493</v>
      </c>
      <c r="I41" s="228">
        <v>70.07499378</v>
      </c>
      <c r="J41" s="228">
        <v>33.250500000000002</v>
      </c>
      <c r="K41" s="228">
        <v>6529.2482874193556</v>
      </c>
      <c r="L41" s="228">
        <v>2844.5266451612906</v>
      </c>
      <c r="M41" s="237" t="s">
        <v>3467</v>
      </c>
      <c r="N41" s="237" t="s">
        <v>3516</v>
      </c>
      <c r="O41" s="236" t="s">
        <v>3572</v>
      </c>
      <c r="P41" s="237" t="s">
        <v>3662</v>
      </c>
      <c r="Q41" s="267" t="s">
        <v>3309</v>
      </c>
      <c r="R41" s="390" t="s">
        <v>3944</v>
      </c>
      <c r="S41" s="191">
        <v>2500</v>
      </c>
      <c r="T41" s="191">
        <v>2500</v>
      </c>
      <c r="U41" s="334">
        <v>2500</v>
      </c>
      <c r="V41" s="334">
        <v>700</v>
      </c>
      <c r="AA41" s="312" t="s">
        <v>3616</v>
      </c>
      <c r="AB41" s="267" t="s">
        <v>3272</v>
      </c>
      <c r="AH41" s="257" t="s">
        <v>34</v>
      </c>
      <c r="AI41" s="256" t="s">
        <v>34</v>
      </c>
    </row>
    <row r="42" spans="1:35">
      <c r="A42" s="617"/>
      <c r="B42" s="235" t="str">
        <f t="shared" si="0"/>
        <v>Rocca czarny matowy - maksymalna zalecana zalecana długość profilu 2150 mm</v>
      </c>
      <c r="C42" s="228">
        <f t="shared" si="1"/>
        <v>99.151495027199985</v>
      </c>
      <c r="D42" s="228">
        <f t="shared" si="2"/>
        <v>31.954500000000003</v>
      </c>
      <c r="E42" s="228">
        <v>732.57385582079996</v>
      </c>
      <c r="F42" s="228">
        <v>203.23061999999999</v>
      </c>
      <c r="G42" s="228">
        <v>25.319033718035932</v>
      </c>
      <c r="H42" s="228">
        <v>7.0414706586826341</v>
      </c>
      <c r="I42" s="228">
        <v>99.151495027199985</v>
      </c>
      <c r="J42" s="228">
        <v>31.954500000000003</v>
      </c>
      <c r="K42" s="228">
        <v>9238.4557483354856</v>
      </c>
      <c r="L42" s="228">
        <v>2733.655935483871</v>
      </c>
      <c r="M42" s="235" t="s">
        <v>3468</v>
      </c>
      <c r="N42" s="237" t="s">
        <v>3517</v>
      </c>
      <c r="O42" s="236" t="s">
        <v>3573</v>
      </c>
      <c r="P42" s="237" t="s">
        <v>3663</v>
      </c>
      <c r="Q42" s="267" t="s">
        <v>2701</v>
      </c>
      <c r="R42" s="390" t="s">
        <v>3945</v>
      </c>
      <c r="S42" s="191">
        <v>2150</v>
      </c>
      <c r="T42" s="191">
        <v>2150</v>
      </c>
      <c r="U42" s="334">
        <v>2150</v>
      </c>
      <c r="V42" s="334">
        <v>700</v>
      </c>
      <c r="AA42" s="236" t="s">
        <v>3476</v>
      </c>
      <c r="AB42" s="236" t="s">
        <v>3273</v>
      </c>
      <c r="AH42" s="257" t="s">
        <v>3801</v>
      </c>
      <c r="AI42" s="256" t="s">
        <v>3382</v>
      </c>
    </row>
    <row r="43" spans="1:35">
      <c r="A43" s="617"/>
      <c r="B43" s="235" t="str">
        <f t="shared" si="0"/>
        <v>Vivaro (elox.) - maksymalna zalecana zalecana długość profilu 2500 mm</v>
      </c>
      <c r="C43" s="228">
        <f t="shared" si="1"/>
        <v>72.459969119999997</v>
      </c>
      <c r="D43" s="228">
        <f t="shared" si="2"/>
        <v>41.633999999999993</v>
      </c>
      <c r="E43" s="228">
        <v>535.36539168000002</v>
      </c>
      <c r="F43" s="228">
        <v>264.79223999999994</v>
      </c>
      <c r="G43" s="228">
        <v>18.503164282634732</v>
      </c>
      <c r="H43" s="228">
        <v>9.1744383233532911</v>
      </c>
      <c r="I43" s="228">
        <v>72.459969119999997</v>
      </c>
      <c r="J43" s="228">
        <v>41.633999999999993</v>
      </c>
      <c r="K43" s="228">
        <v>6751.468730322581</v>
      </c>
      <c r="L43" s="228">
        <v>3561.7215483870959</v>
      </c>
      <c r="M43" s="237" t="s">
        <v>3469</v>
      </c>
      <c r="N43" s="237" t="s">
        <v>3518</v>
      </c>
      <c r="O43" s="236" t="s">
        <v>3574</v>
      </c>
      <c r="P43" s="237" t="s">
        <v>3664</v>
      </c>
      <c r="Q43" s="267" t="s">
        <v>3615</v>
      </c>
      <c r="R43" s="390" t="s">
        <v>3946</v>
      </c>
      <c r="S43" s="191">
        <v>2500</v>
      </c>
      <c r="T43" s="191">
        <v>2500</v>
      </c>
      <c r="U43" s="334">
        <v>2700</v>
      </c>
      <c r="V43" s="334">
        <v>700</v>
      </c>
      <c r="AA43" s="236" t="s">
        <v>3477</v>
      </c>
      <c r="AB43" s="236" t="s">
        <v>3274</v>
      </c>
      <c r="AH43" s="257" t="s">
        <v>3802</v>
      </c>
      <c r="AI43" s="256" t="s">
        <v>3383</v>
      </c>
    </row>
    <row r="44" spans="1:35">
      <c r="A44" s="617"/>
      <c r="B44" s="235" t="str">
        <f t="shared" si="0"/>
        <v>Vivaro czarny matowy - maksymalna zalecana zalecana długość profilu 2500 mm</v>
      </c>
      <c r="C44" s="228">
        <f t="shared" si="1"/>
        <v>96.198513840000004</v>
      </c>
      <c r="D44" s="228">
        <f t="shared" si="2"/>
        <v>42.018750000000004</v>
      </c>
      <c r="E44" s="228">
        <v>710.75596175999999</v>
      </c>
      <c r="F44" s="228">
        <v>267.23924999999997</v>
      </c>
      <c r="G44" s="228">
        <v>24.564969140119761</v>
      </c>
      <c r="H44" s="228">
        <v>9.2592215568862262</v>
      </c>
      <c r="I44" s="228">
        <v>96.198513840000004</v>
      </c>
      <c r="J44" s="228">
        <v>42.018750000000004</v>
      </c>
      <c r="K44" s="228">
        <v>8963.3112735483883</v>
      </c>
      <c r="L44" s="228">
        <v>3594.6362903225804</v>
      </c>
      <c r="M44" s="237" t="s">
        <v>3470</v>
      </c>
      <c r="N44" s="237" t="s">
        <v>3519</v>
      </c>
      <c r="O44" s="236" t="s">
        <v>3575</v>
      </c>
      <c r="P44" s="237" t="s">
        <v>3665</v>
      </c>
      <c r="Q44" s="267" t="s">
        <v>3310</v>
      </c>
      <c r="R44" s="390" t="s">
        <v>3947</v>
      </c>
      <c r="S44" s="191">
        <v>2500</v>
      </c>
      <c r="T44" s="191">
        <v>2500</v>
      </c>
      <c r="U44" s="334">
        <v>2700</v>
      </c>
      <c r="V44" s="334">
        <v>700</v>
      </c>
      <c r="AA44" s="267" t="s">
        <v>3478</v>
      </c>
      <c r="AB44" s="267" t="s">
        <v>2705</v>
      </c>
      <c r="AH44" s="257" t="s">
        <v>31</v>
      </c>
      <c r="AI44" s="256" t="s">
        <v>31</v>
      </c>
    </row>
    <row r="45" spans="1:35">
      <c r="A45" s="617"/>
      <c r="B45" s="235" t="str">
        <f t="shared" si="0"/>
        <v>Imola złota - maksymalna zalecana zalecana długość profilu 2150 mm</v>
      </c>
      <c r="C45" s="228">
        <f t="shared" si="1"/>
        <v>137.97390420000002</v>
      </c>
      <c r="D45" s="228">
        <f t="shared" si="2"/>
        <v>41.633999999999993</v>
      </c>
      <c r="E45" s="228">
        <v>1019.4104988</v>
      </c>
      <c r="F45" s="228">
        <v>264.79223999999994</v>
      </c>
      <c r="G45" s="228">
        <v>35.232609772455092</v>
      </c>
      <c r="H45" s="228">
        <v>9.1744383233532911</v>
      </c>
      <c r="I45" s="228">
        <v>137.97390420000002</v>
      </c>
      <c r="J45" s="228">
        <v>41.633999999999993</v>
      </c>
      <c r="K45" s="228">
        <v>12855.73967419355</v>
      </c>
      <c r="L45" s="228">
        <v>3561.7215483870959</v>
      </c>
      <c r="M45" s="327" t="s">
        <v>3471</v>
      </c>
      <c r="N45" s="238" t="s">
        <v>3520</v>
      </c>
      <c r="O45" s="267" t="s">
        <v>3576</v>
      </c>
      <c r="P45" s="236" t="s">
        <v>3666</v>
      </c>
      <c r="Q45" s="236" t="s">
        <v>3439</v>
      </c>
      <c r="R45" s="390" t="s">
        <v>3948</v>
      </c>
      <c r="S45" s="191">
        <v>2150</v>
      </c>
      <c r="T45" s="191">
        <v>2150</v>
      </c>
      <c r="U45" s="334">
        <v>2150</v>
      </c>
      <c r="V45" s="334">
        <v>700</v>
      </c>
      <c r="AA45" s="267" t="s">
        <v>3479</v>
      </c>
      <c r="AB45" s="267" t="s">
        <v>3319</v>
      </c>
      <c r="AH45" s="257" t="s">
        <v>39</v>
      </c>
      <c r="AI45" s="256" t="s">
        <v>39</v>
      </c>
    </row>
    <row r="46" spans="1:35">
      <c r="A46" s="617"/>
      <c r="B46" s="235" t="str">
        <f t="shared" si="0"/>
        <v>Vivaro INOX (stal nierdzewna) - maksymalna zalecana zalecana długość profilu 2500 mm</v>
      </c>
      <c r="C46" s="228">
        <f t="shared" si="1"/>
        <v>87.315945947999992</v>
      </c>
      <c r="D46" s="228">
        <f t="shared" si="2"/>
        <v>41.633999999999993</v>
      </c>
      <c r="E46" s="228">
        <v>645.12773287200002</v>
      </c>
      <c r="F46" s="228">
        <v>264.79223999999994</v>
      </c>
      <c r="G46" s="228">
        <v>22.29674276694611</v>
      </c>
      <c r="H46" s="228">
        <v>9.1744383233532911</v>
      </c>
      <c r="I46" s="228">
        <v>87.315945947999992</v>
      </c>
      <c r="J46" s="228">
        <v>41.633999999999993</v>
      </c>
      <c r="K46" s="228">
        <v>8135.6766485806456</v>
      </c>
      <c r="L46" s="228">
        <v>3561.7215483870959</v>
      </c>
      <c r="M46" s="237" t="s">
        <v>3472</v>
      </c>
      <c r="N46" s="237" t="s">
        <v>3521</v>
      </c>
      <c r="O46" s="236" t="s">
        <v>3577</v>
      </c>
      <c r="P46" s="237" t="s">
        <v>3667</v>
      </c>
      <c r="Q46" s="267" t="s">
        <v>3311</v>
      </c>
      <c r="R46" s="390" t="s">
        <v>3949</v>
      </c>
      <c r="S46" s="191">
        <v>2500</v>
      </c>
      <c r="T46" s="191">
        <v>2500</v>
      </c>
      <c r="U46" s="334">
        <v>2700</v>
      </c>
      <c r="V46" s="334">
        <v>700</v>
      </c>
      <c r="AA46" s="267" t="s">
        <v>3480</v>
      </c>
      <c r="AB46" s="267" t="s">
        <v>3275</v>
      </c>
      <c r="AH46" s="257" t="s">
        <v>40</v>
      </c>
      <c r="AI46" s="256" t="s">
        <v>3384</v>
      </c>
    </row>
    <row r="47" spans="1:35">
      <c r="A47" s="617"/>
      <c r="B47" s="235" t="str">
        <f t="shared" si="0"/>
        <v>Vivaro biały matowy RAL 9003 - maksymalna zalecana zalecana długość profilu 2500 mm</v>
      </c>
      <c r="C47" s="228">
        <f t="shared" si="1"/>
        <v>137.55461742</v>
      </c>
      <c r="D47" s="228">
        <f t="shared" si="2"/>
        <v>41.633999999999993</v>
      </c>
      <c r="E47" s="228">
        <v>1016.3126278799998</v>
      </c>
      <c r="F47" s="228">
        <v>264.79223999999994</v>
      </c>
      <c r="G47" s="228">
        <v>35.125541935329338</v>
      </c>
      <c r="H47" s="228">
        <v>9.1744383233532911</v>
      </c>
      <c r="I47" s="228">
        <v>137.55461742</v>
      </c>
      <c r="J47" s="228">
        <v>41.633999999999993</v>
      </c>
      <c r="K47" s="228">
        <v>12816.672564193546</v>
      </c>
      <c r="L47" s="228">
        <v>3561.7215483870959</v>
      </c>
      <c r="M47" s="236" t="s">
        <v>3473</v>
      </c>
      <c r="N47" s="236" t="s">
        <v>3522</v>
      </c>
      <c r="O47" s="236" t="s">
        <v>3578</v>
      </c>
      <c r="P47" s="236" t="s">
        <v>3668</v>
      </c>
      <c r="Q47" s="267" t="s">
        <v>3312</v>
      </c>
      <c r="R47" s="390" t="s">
        <v>3950</v>
      </c>
      <c r="S47" s="191">
        <v>2500</v>
      </c>
      <c r="T47" s="191">
        <v>2500</v>
      </c>
      <c r="U47" s="334">
        <v>2700</v>
      </c>
      <c r="V47" s="334">
        <v>700</v>
      </c>
      <c r="AA47" s="267" t="s">
        <v>3481</v>
      </c>
      <c r="AB47" s="267" t="s">
        <v>3276</v>
      </c>
      <c r="AH47" s="257" t="s">
        <v>41</v>
      </c>
      <c r="AI47" s="256" t="s">
        <v>3385</v>
      </c>
    </row>
    <row r="48" spans="1:35">
      <c r="A48" s="617"/>
      <c r="B48" s="235" t="str">
        <f t="shared" si="0"/>
        <v>Vivaro biały połysk RAL 9003 - maksymalna zalecana zalecana długość profilu 2500 mm</v>
      </c>
      <c r="C48" s="228">
        <f t="shared" si="1"/>
        <v>137.55461742</v>
      </c>
      <c r="D48" s="228">
        <f t="shared" si="2"/>
        <v>41.633999999999993</v>
      </c>
      <c r="E48" s="228">
        <v>1016.3126278799998</v>
      </c>
      <c r="F48" s="228">
        <v>264.79223999999994</v>
      </c>
      <c r="G48" s="228">
        <v>35.125541935329338</v>
      </c>
      <c r="H48" s="228">
        <v>9.1744383233532911</v>
      </c>
      <c r="I48" s="228">
        <v>137.55461742</v>
      </c>
      <c r="J48" s="228">
        <v>41.633999999999993</v>
      </c>
      <c r="K48" s="228">
        <v>12816.672564193546</v>
      </c>
      <c r="L48" s="228">
        <v>3561.7215483870959</v>
      </c>
      <c r="M48" s="236" t="s">
        <v>3474</v>
      </c>
      <c r="N48" s="236" t="s">
        <v>3523</v>
      </c>
      <c r="O48" s="236" t="s">
        <v>3579</v>
      </c>
      <c r="P48" s="236" t="s">
        <v>3669</v>
      </c>
      <c r="Q48" s="267" t="s">
        <v>3284</v>
      </c>
      <c r="R48" s="390" t="s">
        <v>3951</v>
      </c>
      <c r="S48" s="191">
        <v>2500</v>
      </c>
      <c r="T48" s="191">
        <v>2500</v>
      </c>
      <c r="U48" s="334">
        <v>2700</v>
      </c>
      <c r="V48" s="334">
        <v>700</v>
      </c>
      <c r="AA48" s="267" t="s">
        <v>3482</v>
      </c>
      <c r="AB48" s="267" t="s">
        <v>3277</v>
      </c>
      <c r="AH48" s="257" t="s">
        <v>46</v>
      </c>
      <c r="AI48" s="256" t="s">
        <v>3386</v>
      </c>
    </row>
    <row r="49" spans="1:37">
      <c r="A49" s="617"/>
      <c r="B49" s="235" t="str">
        <f t="shared" si="0"/>
        <v>Warna - maksymalna zalecana zalecana długość profilu 2500 mm</v>
      </c>
      <c r="C49" s="228">
        <f t="shared" si="1"/>
        <v>57.666470400000009</v>
      </c>
      <c r="D49" s="228">
        <f t="shared" si="2"/>
        <v>0</v>
      </c>
      <c r="E49" s="228">
        <v>426.06466560000007</v>
      </c>
      <c r="F49" s="228">
        <v>0</v>
      </c>
      <c r="G49" s="228">
        <v>14.725540023952098</v>
      </c>
      <c r="H49" s="228">
        <v>0</v>
      </c>
      <c r="I49" s="228">
        <v>57.666470400000009</v>
      </c>
      <c r="J49" s="228">
        <v>0</v>
      </c>
      <c r="K49" s="228">
        <v>5373.0822193548402</v>
      </c>
      <c r="L49" s="228">
        <v>0</v>
      </c>
      <c r="M49" s="312" t="s">
        <v>3475</v>
      </c>
      <c r="N49" s="236" t="s">
        <v>3524</v>
      </c>
      <c r="O49" s="267" t="s">
        <v>3580</v>
      </c>
      <c r="P49" s="236" t="s">
        <v>3670</v>
      </c>
      <c r="Q49" s="267" t="s">
        <v>3191</v>
      </c>
      <c r="R49" s="390" t="s">
        <v>3952</v>
      </c>
      <c r="S49" s="191">
        <v>2500</v>
      </c>
      <c r="T49" s="191">
        <v>2500</v>
      </c>
      <c r="U49" s="334">
        <v>1200</v>
      </c>
      <c r="V49" s="334">
        <v>700</v>
      </c>
      <c r="AA49" s="235" t="s">
        <v>3620</v>
      </c>
      <c r="AB49" s="267" t="s">
        <v>3278</v>
      </c>
      <c r="AH49" s="258" t="s">
        <v>3803</v>
      </c>
      <c r="AI49" s="258" t="s">
        <v>3387</v>
      </c>
    </row>
    <row r="50" spans="1:37">
      <c r="A50" s="617"/>
      <c r="B50" s="235" t="str">
        <f t="shared" si="0"/>
        <v>Rocca (elox.) - maksymalna zalecana zalecana długość profilu 2150 mm</v>
      </c>
      <c r="C50" s="228">
        <f t="shared" si="1"/>
        <v>66.491850110400009</v>
      </c>
      <c r="D50" s="228">
        <f t="shared" si="2"/>
        <v>31.954500000000003</v>
      </c>
      <c r="E50" s="228">
        <v>491.2703636256</v>
      </c>
      <c r="F50" s="228">
        <v>203.23061999999999</v>
      </c>
      <c r="G50" s="228">
        <v>16.979162991520958</v>
      </c>
      <c r="H50" s="228">
        <v>7.0414706586826341</v>
      </c>
      <c r="I50" s="228">
        <v>66.491850110400009</v>
      </c>
      <c r="J50" s="228">
        <v>31.954500000000003</v>
      </c>
      <c r="K50" s="228">
        <v>6195.388326735485</v>
      </c>
      <c r="L50" s="228">
        <v>2733.655935483871</v>
      </c>
      <c r="M50" s="312" t="s">
        <v>3616</v>
      </c>
      <c r="N50" s="267" t="s">
        <v>3617</v>
      </c>
      <c r="O50" s="267" t="s">
        <v>3618</v>
      </c>
      <c r="P50" s="236" t="s">
        <v>3671</v>
      </c>
      <c r="Q50" s="267" t="s">
        <v>3619</v>
      </c>
      <c r="R50" s="390" t="s">
        <v>3953</v>
      </c>
      <c r="S50" s="191">
        <v>2150</v>
      </c>
      <c r="T50" s="191">
        <v>2150</v>
      </c>
      <c r="U50" s="334">
        <v>2150</v>
      </c>
      <c r="V50" s="334">
        <v>700</v>
      </c>
      <c r="AA50" s="235" t="s">
        <v>3624</v>
      </c>
      <c r="AB50" s="267" t="s">
        <v>3279</v>
      </c>
      <c r="AH50" s="257" t="s">
        <v>48</v>
      </c>
      <c r="AI50" s="256" t="s">
        <v>3388</v>
      </c>
    </row>
    <row r="51" spans="1:37">
      <c r="A51" s="617"/>
      <c r="B51" s="235" t="str">
        <f t="shared" si="0"/>
        <v>Předěl</v>
      </c>
      <c r="C51" s="228"/>
      <c r="D51" s="228"/>
      <c r="E51" s="328">
        <v>1365.7451303124719</v>
      </c>
      <c r="F51" s="328">
        <v>279.98393904000005</v>
      </c>
      <c r="G51" s="328">
        <v>46.553393837395696</v>
      </c>
      <c r="H51" s="328">
        <v>9.6840045323741002</v>
      </c>
      <c r="I51" s="328">
        <v>199.68128812800003</v>
      </c>
      <c r="J51" s="328">
        <v>42.3683136</v>
      </c>
      <c r="K51" s="328">
        <v>18261.972828358434</v>
      </c>
      <c r="L51" s="328">
        <v>3483.29711790393</v>
      </c>
      <c r="M51" s="267" t="s">
        <v>1324</v>
      </c>
      <c r="N51" s="267" t="s">
        <v>1324</v>
      </c>
      <c r="O51" s="267" t="s">
        <v>1324</v>
      </c>
      <c r="P51" s="236" t="s">
        <v>1324</v>
      </c>
      <c r="Q51" s="267" t="s">
        <v>1324</v>
      </c>
      <c r="R51" s="390"/>
      <c r="AA51" s="243" t="s">
        <v>3483</v>
      </c>
      <c r="AB51" s="243" t="s">
        <v>3280</v>
      </c>
      <c r="AH51" s="257" t="s">
        <v>47</v>
      </c>
      <c r="AI51" s="256" t="s">
        <v>3389</v>
      </c>
    </row>
    <row r="52" spans="1:37">
      <c r="A52" s="617"/>
      <c r="B52" s="235" t="str">
        <f t="shared" si="0"/>
        <v>Pisa biały matowy RAL 9003 - maksymalna zalecana zalecana długość profilu 2500 mm</v>
      </c>
      <c r="C52" s="228">
        <f t="shared" si="1"/>
        <v>124.3658691</v>
      </c>
      <c r="D52" s="228">
        <f t="shared" si="2"/>
        <v>41.633999999999993</v>
      </c>
      <c r="E52" s="228">
        <v>918.86848740000016</v>
      </c>
      <c r="F52" s="228">
        <v>264.79223999999994</v>
      </c>
      <c r="G52" s="228">
        <v>31.757702011976054</v>
      </c>
      <c r="H52" s="228">
        <v>9.1744383233532911</v>
      </c>
      <c r="I52" s="228">
        <v>124.3658691</v>
      </c>
      <c r="J52" s="228">
        <v>41.633999999999993</v>
      </c>
      <c r="K52" s="228">
        <v>11587.808917741937</v>
      </c>
      <c r="L52" s="228">
        <v>3561.7215483870959</v>
      </c>
      <c r="M52" s="236" t="s">
        <v>3476</v>
      </c>
      <c r="N52" s="236" t="s">
        <v>3525</v>
      </c>
      <c r="O52" s="236" t="s">
        <v>3581</v>
      </c>
      <c r="P52" s="236" t="s">
        <v>3672</v>
      </c>
      <c r="Q52" s="267" t="s">
        <v>3313</v>
      </c>
      <c r="R52" s="390" t="s">
        <v>3954</v>
      </c>
      <c r="S52" s="191">
        <v>2500</v>
      </c>
      <c r="T52" s="191">
        <v>2500</v>
      </c>
      <c r="U52" s="334">
        <v>2700</v>
      </c>
      <c r="V52" s="334">
        <v>700</v>
      </c>
      <c r="AA52" s="243" t="s">
        <v>3484</v>
      </c>
      <c r="AB52" s="243" t="s">
        <v>3281</v>
      </c>
      <c r="AH52" s="256" t="s">
        <v>388</v>
      </c>
      <c r="AI52" s="256" t="s">
        <v>389</v>
      </c>
    </row>
    <row r="53" spans="1:37">
      <c r="A53" s="617"/>
      <c r="B53" s="235" t="str">
        <f t="shared" si="0"/>
        <v>Pisa biały połysk RAL 9003 - maksymalna zalecana zalecana długość profilu 2500 mm</v>
      </c>
      <c r="C53" s="228">
        <f t="shared" si="1"/>
        <v>124.3658691</v>
      </c>
      <c r="D53" s="228">
        <f t="shared" si="2"/>
        <v>41.633999999999993</v>
      </c>
      <c r="E53" s="228">
        <v>918.86848740000016</v>
      </c>
      <c r="F53" s="228">
        <v>264.79223999999994</v>
      </c>
      <c r="G53" s="228">
        <v>31.757702011976054</v>
      </c>
      <c r="H53" s="228">
        <v>9.1744383233532911</v>
      </c>
      <c r="I53" s="228">
        <v>124.3658691</v>
      </c>
      <c r="J53" s="228">
        <v>41.633999999999993</v>
      </c>
      <c r="K53" s="228">
        <v>11587.808917741937</v>
      </c>
      <c r="L53" s="228">
        <v>3561.7215483870959</v>
      </c>
      <c r="M53" s="236" t="s">
        <v>3477</v>
      </c>
      <c r="N53" s="236" t="s">
        <v>3526</v>
      </c>
      <c r="O53" s="236" t="s">
        <v>3582</v>
      </c>
      <c r="P53" s="236" t="s">
        <v>3673</v>
      </c>
      <c r="Q53" s="267" t="s">
        <v>3314</v>
      </c>
      <c r="R53" s="390" t="s">
        <v>3955</v>
      </c>
      <c r="S53" s="191">
        <v>2500</v>
      </c>
      <c r="T53" s="191">
        <v>2500</v>
      </c>
      <c r="U53" s="334">
        <v>2700</v>
      </c>
      <c r="V53" s="334">
        <v>700</v>
      </c>
      <c r="AA53" s="243" t="s">
        <v>3485</v>
      </c>
      <c r="AB53" s="243" t="s">
        <v>3282</v>
      </c>
      <c r="AH53" s="256" t="s">
        <v>550</v>
      </c>
      <c r="AI53" s="256" t="s">
        <v>3348</v>
      </c>
    </row>
    <row r="54" spans="1:37">
      <c r="A54" s="617"/>
      <c r="B54" s="235" t="str">
        <f t="shared" si="0"/>
        <v>Warna czarny - maksymalna zalecana zalecana długość profilu 1200 mm</v>
      </c>
      <c r="C54" s="228">
        <f t="shared" si="1"/>
        <v>82.328400000000002</v>
      </c>
      <c r="D54" s="228">
        <f t="shared" si="2"/>
        <v>0</v>
      </c>
      <c r="E54" s="228">
        <v>608.27760000000001</v>
      </c>
      <c r="F54" s="228">
        <v>0</v>
      </c>
      <c r="G54" s="228">
        <v>21.023137724550896</v>
      </c>
      <c r="H54" s="228">
        <v>0</v>
      </c>
      <c r="I54" s="228">
        <v>82.328400000000002</v>
      </c>
      <c r="J54" s="228">
        <v>0</v>
      </c>
      <c r="K54" s="228">
        <v>7670.9612903225816</v>
      </c>
      <c r="L54" s="228">
        <v>0</v>
      </c>
      <c r="M54" s="267" t="s">
        <v>3478</v>
      </c>
      <c r="N54" s="236" t="s">
        <v>3527</v>
      </c>
      <c r="O54" s="267" t="s">
        <v>3583</v>
      </c>
      <c r="P54" s="236" t="s">
        <v>3674</v>
      </c>
      <c r="Q54" s="267" t="s">
        <v>2702</v>
      </c>
      <c r="R54" s="390" t="s">
        <v>3956</v>
      </c>
      <c r="S54" s="191">
        <v>1200</v>
      </c>
      <c r="T54" s="191">
        <v>1200</v>
      </c>
      <c r="U54" s="334">
        <v>1200</v>
      </c>
      <c r="V54" s="334">
        <v>700</v>
      </c>
      <c r="AA54" s="243" t="s">
        <v>3486</v>
      </c>
      <c r="AB54" s="243" t="s">
        <v>2736</v>
      </c>
      <c r="AH54" s="256" t="s">
        <v>949</v>
      </c>
      <c r="AI54" s="256" t="s">
        <v>3351</v>
      </c>
      <c r="AJ54" s="256"/>
      <c r="AK54" s="257"/>
    </row>
    <row r="55" spans="1:37">
      <c r="A55" s="617"/>
      <c r="B55" s="235" t="str">
        <f t="shared" si="0"/>
        <v>BRW złota szczotkowany - maksymalna zalecana zalecana długość profilu 2500 mm</v>
      </c>
      <c r="C55" s="228">
        <f t="shared" si="1"/>
        <v>125.1731448</v>
      </c>
      <c r="D55" s="228">
        <f t="shared" si="2"/>
        <v>33.250500000000002</v>
      </c>
      <c r="E55" s="228">
        <v>924.83298719999993</v>
      </c>
      <c r="F55" s="228">
        <v>211.47318000000001</v>
      </c>
      <c r="G55" s="228">
        <v>31.963845556886227</v>
      </c>
      <c r="H55" s="228">
        <v>7.3270562874251493</v>
      </c>
      <c r="I55" s="228">
        <v>125.1731448</v>
      </c>
      <c r="J55" s="228">
        <v>33.250500000000002</v>
      </c>
      <c r="K55" s="228">
        <v>11663.02695483871</v>
      </c>
      <c r="L55" s="228">
        <v>2844.5266451612906</v>
      </c>
      <c r="M55" s="267" t="s">
        <v>3479</v>
      </c>
      <c r="N55" s="236" t="s">
        <v>3528</v>
      </c>
      <c r="O55" s="267" t="s">
        <v>3584</v>
      </c>
      <c r="P55" s="236" t="s">
        <v>3675</v>
      </c>
      <c r="Q55" s="267" t="s">
        <v>3315</v>
      </c>
      <c r="R55" s="390" t="s">
        <v>3957</v>
      </c>
      <c r="S55" s="191">
        <v>2500</v>
      </c>
      <c r="T55" s="191">
        <v>2500</v>
      </c>
      <c r="U55" s="334">
        <v>2700</v>
      </c>
      <c r="V55" s="334">
        <v>700</v>
      </c>
      <c r="AA55" s="243" t="s">
        <v>3487</v>
      </c>
      <c r="AB55" s="243" t="s">
        <v>3283</v>
      </c>
      <c r="AH55" s="256" t="s">
        <v>826</v>
      </c>
      <c r="AI55" s="256" t="s">
        <v>3352</v>
      </c>
      <c r="AJ55" s="256"/>
      <c r="AK55" s="257"/>
    </row>
    <row r="56" spans="1:37">
      <c r="A56" s="617"/>
      <c r="B56" s="235" t="str">
        <f t="shared" si="0"/>
        <v>Verona złota szczotkowany - maksymalna zalecana zalecana długość profilu 2150 mm</v>
      </c>
      <c r="C56" s="228">
        <f t="shared" si="1"/>
        <v>114.07305491999999</v>
      </c>
      <c r="D56" s="228">
        <f t="shared" si="2"/>
        <v>33.250500000000002</v>
      </c>
      <c r="E56" s="228">
        <v>842.82075287999987</v>
      </c>
      <c r="F56" s="228">
        <v>211.47318000000001</v>
      </c>
      <c r="G56" s="228">
        <v>29.129359300598797</v>
      </c>
      <c r="H56" s="228">
        <v>7.3270562874251493</v>
      </c>
      <c r="I56" s="228">
        <v>114.07305491999999</v>
      </c>
      <c r="J56" s="228">
        <v>33.250500000000002</v>
      </c>
      <c r="K56" s="228">
        <v>10628.774378709677</v>
      </c>
      <c r="L56" s="228">
        <v>2844.5266451612906</v>
      </c>
      <c r="M56" s="267" t="s">
        <v>3480</v>
      </c>
      <c r="N56" s="236" t="s">
        <v>3529</v>
      </c>
      <c r="O56" s="267" t="s">
        <v>3585</v>
      </c>
      <c r="P56" s="236" t="s">
        <v>3676</v>
      </c>
      <c r="Q56" s="267" t="s">
        <v>2703</v>
      </c>
      <c r="R56" s="390" t="s">
        <v>3958</v>
      </c>
      <c r="S56" s="191">
        <v>2150</v>
      </c>
      <c r="T56" s="191">
        <v>2150</v>
      </c>
      <c r="U56" s="334">
        <v>2150</v>
      </c>
      <c r="V56" s="334">
        <v>700</v>
      </c>
      <c r="AA56" s="243" t="s">
        <v>3488</v>
      </c>
      <c r="AB56" s="243" t="s">
        <v>3321</v>
      </c>
      <c r="AH56" s="256" t="s">
        <v>394</v>
      </c>
      <c r="AI56" s="256" t="s">
        <v>3360</v>
      </c>
    </row>
    <row r="57" spans="1:37">
      <c r="A57" s="617"/>
      <c r="B57" s="235" t="str">
        <f t="shared" si="0"/>
        <v>Vivaro złota szczotkowany - maksymalna zalecana zalecana długość profilu 2150 mm</v>
      </c>
      <c r="C57" s="228">
        <f t="shared" si="1"/>
        <v>165.31020000000001</v>
      </c>
      <c r="D57" s="228">
        <f t="shared" si="2"/>
        <v>41.633999999999993</v>
      </c>
      <c r="E57" s="228">
        <v>1221.3828000000001</v>
      </c>
      <c r="F57" s="228">
        <v>264.79223999999994</v>
      </c>
      <c r="G57" s="228">
        <v>42.213125748502996</v>
      </c>
      <c r="H57" s="228">
        <v>9.1744383233532911</v>
      </c>
      <c r="I57" s="228">
        <v>165.31020000000001</v>
      </c>
      <c r="J57" s="228">
        <v>41.633999999999993</v>
      </c>
      <c r="K57" s="228">
        <v>15402.803225806452</v>
      </c>
      <c r="L57" s="228">
        <v>3561.7215483870959</v>
      </c>
      <c r="M57" s="267" t="s">
        <v>3481</v>
      </c>
      <c r="N57" s="236" t="s">
        <v>3530</v>
      </c>
      <c r="O57" s="267" t="s">
        <v>3586</v>
      </c>
      <c r="P57" s="236" t="s">
        <v>3677</v>
      </c>
      <c r="Q57" s="267" t="s">
        <v>2704</v>
      </c>
      <c r="R57" s="390" t="s">
        <v>3959</v>
      </c>
      <c r="S57" s="191">
        <v>2150</v>
      </c>
      <c r="T57" s="191">
        <v>2150</v>
      </c>
      <c r="U57" s="334">
        <v>2150</v>
      </c>
      <c r="V57" s="334">
        <v>700</v>
      </c>
      <c r="AA57" s="236" t="s">
        <v>3489</v>
      </c>
      <c r="AB57" s="236" t="s">
        <v>3237</v>
      </c>
      <c r="AH57" s="256" t="s">
        <v>951</v>
      </c>
      <c r="AI57" s="256" t="s">
        <v>3361</v>
      </c>
    </row>
    <row r="58" spans="1:37">
      <c r="A58" s="617"/>
      <c r="B58" s="235" t="str">
        <f t="shared" si="0"/>
        <v>Pisa złota - maksymalna zalecana długość profilu 2150 mm</v>
      </c>
      <c r="C58" s="228">
        <f t="shared" si="1"/>
        <v>114.35979297599999</v>
      </c>
      <c r="D58" s="228">
        <f t="shared" si="2"/>
        <v>41.633999999999993</v>
      </c>
      <c r="E58" s="228">
        <v>844.93929686399997</v>
      </c>
      <c r="F58" s="228">
        <v>264.79223999999994</v>
      </c>
      <c r="G58" s="228">
        <v>29.202579885988026</v>
      </c>
      <c r="H58" s="228">
        <v>9.1744383233532911</v>
      </c>
      <c r="I58" s="228">
        <v>114.35979297599999</v>
      </c>
      <c r="J58" s="228">
        <v>41.633999999999993</v>
      </c>
      <c r="K58" s="228">
        <v>10655.491241032259</v>
      </c>
      <c r="L58" s="228">
        <v>3561.7215483870959</v>
      </c>
      <c r="M58" s="267" t="s">
        <v>3482</v>
      </c>
      <c r="N58" s="267" t="s">
        <v>3531</v>
      </c>
      <c r="O58" s="267" t="s">
        <v>3538</v>
      </c>
      <c r="P58" s="236" t="s">
        <v>3678</v>
      </c>
      <c r="Q58" s="267" t="s">
        <v>2735</v>
      </c>
      <c r="R58" s="390" t="s">
        <v>3960</v>
      </c>
      <c r="S58" s="191">
        <v>2150</v>
      </c>
      <c r="T58" s="191">
        <v>2150</v>
      </c>
      <c r="U58" s="334">
        <v>2150</v>
      </c>
      <c r="V58" s="334">
        <v>700</v>
      </c>
      <c r="AA58" s="236" t="s">
        <v>3490</v>
      </c>
      <c r="AB58" s="236" t="s">
        <v>3317</v>
      </c>
      <c r="AH58" s="256" t="s">
        <v>945</v>
      </c>
      <c r="AI58" s="256" t="s">
        <v>3362</v>
      </c>
      <c r="AJ58" s="256"/>
      <c r="AK58" s="257"/>
    </row>
    <row r="59" spans="1:37">
      <c r="A59" s="617"/>
      <c r="B59" s="235" t="str">
        <f t="shared" si="0"/>
        <v>ASTI  czarne  - maksymalna zalecana długość profilu 2150</v>
      </c>
      <c r="C59" s="228">
        <f t="shared" si="1"/>
        <v>96.049799999999991</v>
      </c>
      <c r="D59" s="228">
        <f t="shared" si="2"/>
        <v>33.635249999999999</v>
      </c>
      <c r="E59" s="228">
        <v>709.65719999999999</v>
      </c>
      <c r="F59" s="228">
        <v>213.92019000000002</v>
      </c>
      <c r="G59" s="228">
        <v>24.526994011976043</v>
      </c>
      <c r="H59" s="228">
        <v>7.4118395209580834</v>
      </c>
      <c r="I59" s="228">
        <v>96.049799999999991</v>
      </c>
      <c r="J59" s="228">
        <v>33.635249999999999</v>
      </c>
      <c r="K59" s="228">
        <v>8949.4548387096784</v>
      </c>
      <c r="L59" s="228">
        <v>2877.4413870967746</v>
      </c>
      <c r="M59" s="235" t="s">
        <v>3620</v>
      </c>
      <c r="N59" s="267" t="s">
        <v>3621</v>
      </c>
      <c r="O59" s="267" t="s">
        <v>3622</v>
      </c>
      <c r="P59" s="236" t="s">
        <v>3679</v>
      </c>
      <c r="Q59" s="235" t="s">
        <v>3623</v>
      </c>
      <c r="R59" s="390" t="s">
        <v>3961</v>
      </c>
      <c r="S59" s="191">
        <v>2150</v>
      </c>
      <c r="T59" s="191">
        <v>2150</v>
      </c>
      <c r="U59" s="334">
        <v>2150</v>
      </c>
      <c r="V59" s="334">
        <v>700</v>
      </c>
      <c r="AA59" s="236" t="s">
        <v>3491</v>
      </c>
      <c r="AB59" s="236" t="s">
        <v>3238</v>
      </c>
      <c r="AH59" s="256" t="s">
        <v>3764</v>
      </c>
      <c r="AI59" s="256" t="s">
        <v>3369</v>
      </c>
      <c r="AJ59" s="256"/>
      <c r="AK59" s="257"/>
    </row>
    <row r="60" spans="1:37">
      <c r="A60" s="617"/>
      <c r="B60" s="235" t="str">
        <f t="shared" si="0"/>
        <v>ASTI  antracyt mat RAL 7021 mat lakier - maksymalna zalecana długość profilu 2500 mm</v>
      </c>
      <c r="C60" s="228">
        <f t="shared" si="1"/>
        <v>142.56534599999998</v>
      </c>
      <c r="D60" s="228">
        <f t="shared" si="2"/>
        <v>33.635249999999999</v>
      </c>
      <c r="E60" s="228">
        <v>1053.3340439999999</v>
      </c>
      <c r="F60" s="228">
        <v>213.92019000000002</v>
      </c>
      <c r="G60" s="228">
        <v>36.405066826347309</v>
      </c>
      <c r="H60" s="228">
        <v>7.4118395209580834</v>
      </c>
      <c r="I60" s="228">
        <v>142.56534599999998</v>
      </c>
      <c r="J60" s="228">
        <v>33.635249999999999</v>
      </c>
      <c r="K60" s="228">
        <v>13283.547967741937</v>
      </c>
      <c r="L60" s="228">
        <v>2877.4413870967746</v>
      </c>
      <c r="M60" s="235" t="s">
        <v>3624</v>
      </c>
      <c r="N60" s="235" t="s">
        <v>3625</v>
      </c>
      <c r="O60" s="267" t="s">
        <v>3626</v>
      </c>
      <c r="P60" s="235" t="s">
        <v>3680</v>
      </c>
      <c r="Q60" s="235" t="s">
        <v>3627</v>
      </c>
      <c r="R60" s="390" t="s">
        <v>3962</v>
      </c>
      <c r="S60" s="191">
        <v>2500</v>
      </c>
      <c r="T60" s="191">
        <v>2500</v>
      </c>
      <c r="U60" s="334">
        <v>2500</v>
      </c>
      <c r="V60" s="334">
        <v>700</v>
      </c>
      <c r="AA60" s="236" t="s">
        <v>3588</v>
      </c>
      <c r="AB60" s="236" t="s">
        <v>3239</v>
      </c>
      <c r="AH60" s="256" t="s">
        <v>3826</v>
      </c>
      <c r="AI60" s="256" t="s">
        <v>3372</v>
      </c>
      <c r="AJ60" s="256"/>
      <c r="AK60" s="257"/>
    </row>
    <row r="61" spans="1:37">
      <c r="A61" s="617"/>
      <c r="AA61" s="236" t="s">
        <v>3492</v>
      </c>
      <c r="AB61" s="236" t="s">
        <v>3240</v>
      </c>
      <c r="AH61" s="256" t="s">
        <v>3827</v>
      </c>
      <c r="AI61" s="256" t="s">
        <v>3373</v>
      </c>
      <c r="AJ61" s="256"/>
      <c r="AK61" s="257"/>
    </row>
    <row r="62" spans="1:37">
      <c r="A62" s="617"/>
      <c r="AA62" s="237" t="s">
        <v>3493</v>
      </c>
      <c r="AB62" s="236" t="s">
        <v>3241</v>
      </c>
      <c r="AC62" s="270"/>
      <c r="AD62" s="75"/>
      <c r="AH62" s="257" t="s">
        <v>3828</v>
      </c>
      <c r="AI62" s="256" t="s">
        <v>3380</v>
      </c>
    </row>
    <row r="63" spans="1:37" ht="15.75" thickBot="1">
      <c r="A63" s="618"/>
      <c r="AA63" s="237" t="s">
        <v>3494</v>
      </c>
      <c r="AB63" s="236" t="s">
        <v>3242</v>
      </c>
      <c r="AC63" s="270"/>
      <c r="AD63" s="75"/>
      <c r="AH63" s="257" t="s">
        <v>3829</v>
      </c>
      <c r="AI63" s="256" t="s">
        <v>3381</v>
      </c>
    </row>
    <row r="64" spans="1:37">
      <c r="A64" s="265"/>
      <c r="AA64" s="238" t="s">
        <v>3695</v>
      </c>
      <c r="AB64" s="237" t="s">
        <v>1724</v>
      </c>
      <c r="AH64" s="257" t="s">
        <v>3765</v>
      </c>
      <c r="AI64" s="256" t="s">
        <v>3382</v>
      </c>
    </row>
    <row r="65" spans="1:35">
      <c r="A65" s="265"/>
      <c r="AA65" s="237" t="s">
        <v>3495</v>
      </c>
      <c r="AB65" s="236" t="s">
        <v>3243</v>
      </c>
      <c r="AH65" s="257" t="s">
        <v>3766</v>
      </c>
      <c r="AI65" s="256" t="s">
        <v>3383</v>
      </c>
    </row>
    <row r="66" spans="1:35">
      <c r="A66" s="265"/>
      <c r="B66" s="266"/>
      <c r="C66" s="192"/>
      <c r="D66" s="192"/>
      <c r="E66" s="192"/>
      <c r="F66" s="192"/>
      <c r="G66" s="192"/>
      <c r="H66" s="192"/>
      <c r="I66" s="192"/>
      <c r="J66" s="192"/>
      <c r="K66" s="192"/>
      <c r="L66" s="192"/>
      <c r="M66" s="243"/>
      <c r="N66" s="271"/>
      <c r="O66" s="270"/>
      <c r="P66" s="75"/>
      <c r="Q66" s="270"/>
      <c r="AA66" s="237" t="s">
        <v>3496</v>
      </c>
      <c r="AB66" s="236" t="s">
        <v>3244</v>
      </c>
      <c r="AH66" s="257" t="s">
        <v>271</v>
      </c>
      <c r="AI66" s="256" t="s">
        <v>3386</v>
      </c>
    </row>
    <row r="67" spans="1:35">
      <c r="A67" s="265"/>
      <c r="B67" s="266"/>
      <c r="C67" s="192"/>
      <c r="D67" s="192"/>
      <c r="E67" s="192"/>
      <c r="F67" s="192"/>
      <c r="G67" s="192"/>
      <c r="H67" s="192"/>
      <c r="I67" s="192"/>
      <c r="J67" s="192"/>
      <c r="K67" s="192"/>
      <c r="L67" s="192" t="s">
        <v>377</v>
      </c>
      <c r="M67" s="243"/>
      <c r="N67" s="271"/>
      <c r="O67" s="270"/>
      <c r="P67" s="75"/>
      <c r="Q67" s="270"/>
      <c r="AA67" s="237" t="s">
        <v>3497</v>
      </c>
      <c r="AB67" s="236" t="s">
        <v>3245</v>
      </c>
      <c r="AH67" s="257" t="s">
        <v>272</v>
      </c>
      <c r="AI67" s="256" t="s">
        <v>3388</v>
      </c>
    </row>
    <row r="68" spans="1:35">
      <c r="A68" s="265"/>
      <c r="B68" s="266"/>
      <c r="C68" s="192"/>
      <c r="D68" s="192"/>
      <c r="E68" s="192"/>
      <c r="F68" s="192"/>
      <c r="G68" s="192"/>
      <c r="H68" s="192"/>
      <c r="I68" s="192"/>
      <c r="J68" s="192"/>
      <c r="K68" s="192"/>
      <c r="L68" s="192"/>
      <c r="M68" s="243"/>
      <c r="N68" s="271"/>
      <c r="O68" s="270"/>
      <c r="P68" s="75"/>
      <c r="Q68" s="270"/>
      <c r="AA68" s="237" t="s">
        <v>3592</v>
      </c>
      <c r="AB68" s="236" t="s">
        <v>557</v>
      </c>
      <c r="AH68" s="257" t="s">
        <v>956</v>
      </c>
      <c r="AI68" s="256" t="s">
        <v>3389</v>
      </c>
    </row>
    <row r="69" spans="1:35">
      <c r="A69" s="265"/>
      <c r="B69" s="235" t="str">
        <f t="shared" ref="B69:B74" si="3">IF($D$1=1,M69,
IF($D$1=2,N69,
IF($D$1=3,O69,
IF($D$1=4,P69,
IF($D$1=5,Q69,
IF($D$1=6,R69,0))))))</f>
        <v>BRW champagne - maksymalna zalecana długość profilu 2500 mm</v>
      </c>
      <c r="C69" s="228">
        <f t="shared" ref="C69:C74" si="4">IF($D$1=1,E69,IF(OR($D$1=2,$D$1=5,),G69,IF($D$1=3,I69,IF($D$1=4,K69,IF($D$1=6,G69*1.3,0)))))</f>
        <v>54.088451999999997</v>
      </c>
      <c r="D69" s="228">
        <f t="shared" ref="D69:D74" si="5">IF($D$1=1,F69,IF(OR($D$1=2,$D$1=5),H69,IF($D$1=3,J69,IF($D$1=4,L69,IF($D$1=6,H69*1.3,0)))))</f>
        <v>33.250500000000002</v>
      </c>
      <c r="E69" s="228">
        <v>399.62872800000002</v>
      </c>
      <c r="F69" s="228">
        <v>211.47318000000001</v>
      </c>
      <c r="G69" s="228">
        <v>13.811867784431138</v>
      </c>
      <c r="H69" s="228">
        <v>7.3270562874251493</v>
      </c>
      <c r="I69" s="228">
        <v>54.088451999999997</v>
      </c>
      <c r="J69" s="228">
        <v>33.250500000000002</v>
      </c>
      <c r="K69" s="228">
        <v>5039.6998064516129</v>
      </c>
      <c r="L69" s="228">
        <v>2844.5266451612906</v>
      </c>
      <c r="M69" s="243" t="s">
        <v>3483</v>
      </c>
      <c r="N69" s="243" t="s">
        <v>3532</v>
      </c>
      <c r="O69" s="243" t="s">
        <v>3539</v>
      </c>
      <c r="P69" s="75" t="s">
        <v>3681</v>
      </c>
      <c r="Q69" s="243" t="s">
        <v>3192</v>
      </c>
      <c r="R69" s="390" t="s">
        <v>3963</v>
      </c>
      <c r="S69" s="191">
        <v>2500</v>
      </c>
      <c r="T69" s="191">
        <v>2500</v>
      </c>
      <c r="U69" s="334">
        <v>2700</v>
      </c>
      <c r="V69" s="334">
        <v>700</v>
      </c>
      <c r="AA69" s="237" t="s">
        <v>3596</v>
      </c>
      <c r="AB69" s="236" t="s">
        <v>3246</v>
      </c>
      <c r="AH69" s="256" t="s">
        <v>389</v>
      </c>
      <c r="AI69" s="256" t="s">
        <v>389</v>
      </c>
    </row>
    <row r="70" spans="1:35">
      <c r="A70" s="265"/>
      <c r="B70" s="235" t="str">
        <f t="shared" si="3"/>
        <v>BRW champagne light - maksymalna zalecana długość profilu 2500 mm</v>
      </c>
      <c r="C70" s="228">
        <f t="shared" si="4"/>
        <v>77.461876799999999</v>
      </c>
      <c r="D70" s="228">
        <f t="shared" si="5"/>
        <v>33.250500000000002</v>
      </c>
      <c r="E70" s="228">
        <v>572.32163519999995</v>
      </c>
      <c r="F70" s="228">
        <v>211.47318000000001</v>
      </c>
      <c r="G70" s="228">
        <v>19.780436694610778</v>
      </c>
      <c r="H70" s="228">
        <v>7.3270562874251493</v>
      </c>
      <c r="I70" s="228">
        <v>77.461876799999999</v>
      </c>
      <c r="J70" s="228">
        <v>33.250500000000002</v>
      </c>
      <c r="K70" s="228">
        <v>7217.5222451612899</v>
      </c>
      <c r="L70" s="228">
        <v>2844.5266451612906</v>
      </c>
      <c r="M70" s="243" t="s">
        <v>3484</v>
      </c>
      <c r="N70" s="243" t="s">
        <v>3533</v>
      </c>
      <c r="O70" s="243" t="s">
        <v>3540</v>
      </c>
      <c r="P70" s="75" t="s">
        <v>3682</v>
      </c>
      <c r="Q70" s="243" t="s">
        <v>3316</v>
      </c>
      <c r="R70" s="390" t="s">
        <v>3964</v>
      </c>
      <c r="S70" s="191">
        <v>2500</v>
      </c>
      <c r="T70" s="191">
        <v>2500</v>
      </c>
      <c r="U70" s="334">
        <v>2700</v>
      </c>
      <c r="V70" s="334">
        <v>700</v>
      </c>
      <c r="AA70" s="237" t="s">
        <v>3600</v>
      </c>
      <c r="AB70" s="236" t="s">
        <v>3247</v>
      </c>
      <c r="AH70" s="256" t="s">
        <v>1249</v>
      </c>
      <c r="AI70" s="256" t="s">
        <v>1249</v>
      </c>
    </row>
    <row r="71" spans="1:35">
      <c r="A71" s="265"/>
      <c r="B71" s="235" t="str">
        <f t="shared" si="3"/>
        <v>ROMA czarna matowa -  maksymalna zalecana długość profilu 2696 mm</v>
      </c>
      <c r="C71" s="228">
        <f t="shared" si="4"/>
        <v>115.25976</v>
      </c>
      <c r="D71" s="228">
        <f t="shared" si="5"/>
        <v>93.554999999999993</v>
      </c>
      <c r="E71" s="228">
        <v>851.58864000000005</v>
      </c>
      <c r="F71" s="228">
        <v>595.00979999999993</v>
      </c>
      <c r="G71" s="228">
        <v>29.432392814371259</v>
      </c>
      <c r="H71" s="228">
        <v>20.615712574850296</v>
      </c>
      <c r="I71" s="228">
        <v>115.25976</v>
      </c>
      <c r="J71" s="228">
        <v>93.554999999999993</v>
      </c>
      <c r="K71" s="228">
        <v>10739.345806451614</v>
      </c>
      <c r="L71" s="228">
        <v>8003.4793548387088</v>
      </c>
      <c r="M71" s="243" t="s">
        <v>3485</v>
      </c>
      <c r="N71" s="243" t="s">
        <v>3534</v>
      </c>
      <c r="O71" s="243" t="s">
        <v>3541</v>
      </c>
      <c r="P71" s="243" t="s">
        <v>3683</v>
      </c>
      <c r="Q71" s="311" t="s">
        <v>3193</v>
      </c>
      <c r="R71" s="390" t="s">
        <v>3965</v>
      </c>
      <c r="S71" s="191">
        <v>2696</v>
      </c>
      <c r="T71" s="191">
        <v>2696</v>
      </c>
      <c r="U71" s="334">
        <v>2696</v>
      </c>
      <c r="V71" s="334">
        <v>700</v>
      </c>
      <c r="AA71" s="237" t="s">
        <v>3498</v>
      </c>
      <c r="AB71" s="236" t="s">
        <v>3248</v>
      </c>
      <c r="AH71" s="256" t="s">
        <v>1245</v>
      </c>
      <c r="AI71" s="256" t="s">
        <v>1245</v>
      </c>
    </row>
    <row r="72" spans="1:35">
      <c r="A72" s="265"/>
      <c r="B72" s="235" t="str">
        <f t="shared" si="3"/>
        <v>ROMA champagne mat - maksymalna zalecana długość profilu 2696 mm</v>
      </c>
      <c r="C72" s="228">
        <f t="shared" si="4"/>
        <v>115.25976</v>
      </c>
      <c r="D72" s="228">
        <f t="shared" si="5"/>
        <v>93.554999999999993</v>
      </c>
      <c r="E72" s="228">
        <v>851.58864000000005</v>
      </c>
      <c r="F72" s="228">
        <v>595.00979999999993</v>
      </c>
      <c r="G72" s="228">
        <v>29.432392814371259</v>
      </c>
      <c r="H72" s="228">
        <v>20.615712574850296</v>
      </c>
      <c r="I72" s="228">
        <v>115.25976</v>
      </c>
      <c r="J72" s="228">
        <v>93.554999999999993</v>
      </c>
      <c r="K72" s="228">
        <v>10739.345806451614</v>
      </c>
      <c r="L72" s="228">
        <v>8003.4793548387088</v>
      </c>
      <c r="M72" s="243" t="s">
        <v>3486</v>
      </c>
      <c r="N72" s="243" t="s">
        <v>3535</v>
      </c>
      <c r="O72" s="243" t="s">
        <v>3542</v>
      </c>
      <c r="P72" s="243" t="s">
        <v>3684</v>
      </c>
      <c r="Q72" s="243" t="s">
        <v>3194</v>
      </c>
      <c r="R72" s="390" t="s">
        <v>3966</v>
      </c>
      <c r="S72" s="191">
        <v>2696</v>
      </c>
      <c r="T72" s="191">
        <v>2696</v>
      </c>
      <c r="U72" s="334">
        <v>2696</v>
      </c>
      <c r="V72" s="334">
        <v>700</v>
      </c>
      <c r="AA72" s="236" t="s">
        <v>3499</v>
      </c>
      <c r="AB72" s="236" t="s">
        <v>3249</v>
      </c>
      <c r="AH72" s="256" t="s">
        <v>1250</v>
      </c>
      <c r="AI72" s="256" t="s">
        <v>1250</v>
      </c>
    </row>
    <row r="73" spans="1:35">
      <c r="A73" s="265"/>
      <c r="B73" s="235" t="str">
        <f t="shared" si="3"/>
        <v>ROMA GRIP czarna matowa - maksymalna zalecana długość profilu 2696 mm</v>
      </c>
      <c r="C73" s="228">
        <f t="shared" si="4"/>
        <v>115.25976</v>
      </c>
      <c r="D73" s="228">
        <f t="shared" si="5"/>
        <v>93.554999999999993</v>
      </c>
      <c r="E73" s="228">
        <v>851.58864000000005</v>
      </c>
      <c r="F73" s="228">
        <v>595.00979999999993</v>
      </c>
      <c r="G73" s="228">
        <v>29.432392814371259</v>
      </c>
      <c r="H73" s="228">
        <v>20.615712574850296</v>
      </c>
      <c r="I73" s="228">
        <v>115.25976</v>
      </c>
      <c r="J73" s="228">
        <v>93.554999999999993</v>
      </c>
      <c r="K73" s="228">
        <v>10739.345806451614</v>
      </c>
      <c r="L73" s="228">
        <v>8003.4793548387088</v>
      </c>
      <c r="M73" s="243" t="s">
        <v>3487</v>
      </c>
      <c r="N73" s="243" t="s">
        <v>3536</v>
      </c>
      <c r="O73" s="243" t="s">
        <v>3543</v>
      </c>
      <c r="P73" s="243" t="s">
        <v>3685</v>
      </c>
      <c r="Q73" s="279" t="s">
        <v>3195</v>
      </c>
      <c r="R73" s="390" t="s">
        <v>3967</v>
      </c>
      <c r="S73" s="191">
        <v>2696</v>
      </c>
      <c r="T73" s="191">
        <v>2696</v>
      </c>
      <c r="U73" s="334">
        <v>2696</v>
      </c>
      <c r="V73" s="334">
        <v>700</v>
      </c>
      <c r="AA73" s="237" t="s">
        <v>3500</v>
      </c>
      <c r="AB73" s="236" t="s">
        <v>3250</v>
      </c>
      <c r="AH73" s="256" t="s">
        <v>551</v>
      </c>
      <c r="AI73" s="256" t="s">
        <v>3348</v>
      </c>
    </row>
    <row r="74" spans="1:35">
      <c r="A74" s="265"/>
      <c r="B74" s="235" t="str">
        <f t="shared" si="3"/>
        <v>ROMA GRIP champagne mat - maksymalna zalecana długość profilu 2696 mm</v>
      </c>
      <c r="C74" s="228">
        <f t="shared" si="4"/>
        <v>115.25976</v>
      </c>
      <c r="D74" s="228">
        <f t="shared" si="5"/>
        <v>93.554999999999993</v>
      </c>
      <c r="E74" s="228">
        <v>851.58864000000005</v>
      </c>
      <c r="F74" s="228">
        <v>595.00979999999993</v>
      </c>
      <c r="G74" s="228">
        <v>29.432392814371259</v>
      </c>
      <c r="H74" s="228">
        <v>20.615712574850296</v>
      </c>
      <c r="I74" s="228">
        <v>115.25976</v>
      </c>
      <c r="J74" s="228">
        <v>93.554999999999993</v>
      </c>
      <c r="K74" s="228">
        <v>10739.345806451614</v>
      </c>
      <c r="L74" s="228">
        <v>8003.4793548387088</v>
      </c>
      <c r="M74" s="243" t="s">
        <v>3488</v>
      </c>
      <c r="N74" s="243" t="s">
        <v>3537</v>
      </c>
      <c r="O74" s="243" t="s">
        <v>3544</v>
      </c>
      <c r="P74" s="243" t="s">
        <v>3686</v>
      </c>
      <c r="Q74" s="243" t="s">
        <v>3196</v>
      </c>
      <c r="R74" s="390" t="s">
        <v>3968</v>
      </c>
      <c r="S74" s="191">
        <v>2696</v>
      </c>
      <c r="T74" s="191">
        <v>2696</v>
      </c>
      <c r="U74" s="334">
        <v>2696</v>
      </c>
      <c r="V74" s="334">
        <v>700</v>
      </c>
      <c r="AA74" s="237" t="s">
        <v>3501</v>
      </c>
      <c r="AB74" s="236" t="s">
        <v>3251</v>
      </c>
      <c r="AH74" s="256" t="s">
        <v>952</v>
      </c>
      <c r="AI74" s="256" t="s">
        <v>3351</v>
      </c>
    </row>
    <row r="75" spans="1:35">
      <c r="B75" s="240"/>
      <c r="C75" s="192"/>
      <c r="D75" s="192"/>
      <c r="E75" s="192"/>
      <c r="F75" s="192"/>
      <c r="G75" s="241"/>
      <c r="H75" s="241"/>
      <c r="I75" s="241"/>
      <c r="J75" s="241"/>
      <c r="K75" s="242"/>
      <c r="L75" s="242"/>
      <c r="M75" s="239"/>
      <c r="N75" s="239"/>
      <c r="O75" s="243"/>
      <c r="P75" s="239"/>
      <c r="AA75" s="238" t="s">
        <v>3604</v>
      </c>
      <c r="AB75" s="237" t="s">
        <v>3252</v>
      </c>
      <c r="AH75" s="256" t="s">
        <v>953</v>
      </c>
      <c r="AI75" s="256" t="s">
        <v>3355</v>
      </c>
    </row>
    <row r="76" spans="1:35" ht="15.75" thickBot="1">
      <c r="B76" s="240"/>
      <c r="C76" s="192" t="s">
        <v>1318</v>
      </c>
      <c r="D76" s="192" t="s">
        <v>1319</v>
      </c>
      <c r="E76" s="192"/>
      <c r="F76" s="192"/>
      <c r="G76" s="241"/>
      <c r="H76" s="241"/>
      <c r="I76" s="241"/>
      <c r="J76" s="241"/>
      <c r="K76" s="242"/>
      <c r="L76" s="242"/>
      <c r="M76" s="239"/>
      <c r="N76" s="239"/>
      <c r="O76" s="243"/>
      <c r="P76" s="239"/>
      <c r="AA76" s="236" t="s">
        <v>3502</v>
      </c>
      <c r="AB76" s="236" t="s">
        <v>3253</v>
      </c>
      <c r="AH76" s="256" t="s">
        <v>3830</v>
      </c>
      <c r="AI76" s="256" t="s">
        <v>3358</v>
      </c>
    </row>
    <row r="77" spans="1:35" ht="15.75" thickBot="1">
      <c r="A77" s="620" t="s">
        <v>1320</v>
      </c>
      <c r="B77" s="235"/>
      <c r="C77" s="246">
        <f>$B$32</f>
        <v>0</v>
      </c>
      <c r="D77" s="247" t="str">
        <f>B49</f>
        <v>Warna - maksymalna zalecana zalecana długość profilu 2500 mm</v>
      </c>
      <c r="E77" s="192"/>
      <c r="F77" s="192"/>
      <c r="G77" s="241"/>
      <c r="H77" s="241"/>
      <c r="I77" s="241"/>
      <c r="J77" s="241"/>
      <c r="K77" s="242"/>
      <c r="L77" s="242"/>
      <c r="M77" s="239" t="s">
        <v>2525</v>
      </c>
      <c r="N77" s="239" t="s">
        <v>2528</v>
      </c>
      <c r="O77" s="243" t="s">
        <v>3197</v>
      </c>
      <c r="P77" s="239" t="s">
        <v>2535</v>
      </c>
      <c r="Q77" s="191" t="s">
        <v>2531</v>
      </c>
      <c r="R77" s="390" t="s">
        <v>3969</v>
      </c>
      <c r="S77" s="191">
        <v>2500</v>
      </c>
      <c r="T77" s="191">
        <v>2500</v>
      </c>
      <c r="U77" s="334">
        <v>2700</v>
      </c>
      <c r="V77" s="334">
        <v>700</v>
      </c>
      <c r="AA77" s="236" t="s">
        <v>3503</v>
      </c>
      <c r="AB77" s="236" t="s">
        <v>3254</v>
      </c>
      <c r="AH77" s="256" t="s">
        <v>395</v>
      </c>
      <c r="AI77" s="256" t="s">
        <v>3360</v>
      </c>
    </row>
    <row r="78" spans="1:35" ht="15.75" thickBot="1">
      <c r="A78" s="621"/>
      <c r="B78" s="235"/>
      <c r="C78" s="246">
        <f>$B$33</f>
        <v>0</v>
      </c>
      <c r="D78" s="247" t="str">
        <f>$B$54</f>
        <v>Warna czarny - maksymalna zalecana zalecana długość profilu 1200 mm</v>
      </c>
      <c r="M78" s="239" t="s">
        <v>1349</v>
      </c>
      <c r="N78" s="239" t="s">
        <v>1350</v>
      </c>
      <c r="O78" s="243" t="s">
        <v>3198</v>
      </c>
      <c r="P78" s="239" t="s">
        <v>1351</v>
      </c>
      <c r="Q78" s="191" t="s">
        <v>1465</v>
      </c>
      <c r="R78" s="390" t="s">
        <v>3970</v>
      </c>
      <c r="S78" s="191">
        <v>1200</v>
      </c>
      <c r="T78" s="191">
        <v>2500</v>
      </c>
      <c r="U78" s="334">
        <v>2700</v>
      </c>
      <c r="V78" s="334">
        <v>700</v>
      </c>
      <c r="AA78" s="236" t="s">
        <v>3506</v>
      </c>
      <c r="AB78" s="236" t="s">
        <v>3255</v>
      </c>
      <c r="AH78" s="256" t="s">
        <v>954</v>
      </c>
      <c r="AI78" s="256" t="s">
        <v>3361</v>
      </c>
    </row>
    <row r="79" spans="1:35" ht="15.75" thickBot="1">
      <c r="A79" s="621"/>
      <c r="B79" s="235"/>
      <c r="C79" s="246">
        <f>$B$27</f>
        <v>0</v>
      </c>
      <c r="D79" s="247" t="str">
        <f>B49</f>
        <v>Warna - maksymalna zalecana zalecana długość profilu 2500 mm</v>
      </c>
      <c r="E79" s="192"/>
      <c r="F79" s="192"/>
      <c r="G79" s="241"/>
      <c r="H79" s="241"/>
      <c r="I79" s="241"/>
      <c r="J79" s="241"/>
      <c r="K79" s="242"/>
      <c r="L79" s="242"/>
      <c r="M79" s="239" t="s">
        <v>2526</v>
      </c>
      <c r="N79" s="239" t="s">
        <v>2529</v>
      </c>
      <c r="O79" s="243" t="s">
        <v>3199</v>
      </c>
      <c r="P79" s="239" t="s">
        <v>2536</v>
      </c>
      <c r="Q79" s="191" t="s">
        <v>2532</v>
      </c>
      <c r="R79" s="390" t="s">
        <v>3971</v>
      </c>
      <c r="S79" s="191">
        <v>2500</v>
      </c>
      <c r="T79" s="191">
        <v>2500</v>
      </c>
      <c r="U79" s="334">
        <v>2700</v>
      </c>
      <c r="V79" s="334">
        <v>700</v>
      </c>
      <c r="AA79" s="237" t="s">
        <v>3608</v>
      </c>
      <c r="AB79" s="236" t="s">
        <v>3256</v>
      </c>
      <c r="AH79" s="256" t="s">
        <v>946</v>
      </c>
      <c r="AI79" s="256" t="s">
        <v>3362</v>
      </c>
    </row>
    <row r="80" spans="1:35" ht="15.75" thickBot="1">
      <c r="A80" s="621"/>
      <c r="B80" s="235" t="str">
        <f t="shared" ref="B80:B81" si="6">IF($D$1=1,M80,
IF($D$1=2,N80,
IF($D$1=3,O80,
IF($D$1=4,P80,
IF($D$1=5,Q80,
IF($D$1=6,R80,0))))))</f>
        <v>Rocca elox (lewa i prawa) + Varna elox (góra i dół)</v>
      </c>
      <c r="C80" s="246" t="str">
        <f>B50</f>
        <v>Rocca (elox.) - maksymalna zalecana zalecana długość profilu 2150 mm</v>
      </c>
      <c r="D80" s="333" t="str">
        <f>B49</f>
        <v>Warna - maksymalna zalecana zalecana długość profilu 2500 mm</v>
      </c>
      <c r="E80" s="192"/>
      <c r="F80" s="192"/>
      <c r="G80" s="241"/>
      <c r="H80" s="241"/>
      <c r="I80" s="241"/>
      <c r="J80" s="241"/>
      <c r="K80" s="242"/>
      <c r="L80" s="242"/>
      <c r="M80" s="239" t="s">
        <v>2527</v>
      </c>
      <c r="N80" s="239" t="s">
        <v>2530</v>
      </c>
      <c r="O80" s="243" t="s">
        <v>2533</v>
      </c>
      <c r="P80" s="239" t="s">
        <v>2537</v>
      </c>
      <c r="Q80" s="191" t="s">
        <v>2534</v>
      </c>
      <c r="R80" s="390" t="s">
        <v>3972</v>
      </c>
      <c r="S80" s="191">
        <v>2500</v>
      </c>
      <c r="T80" s="191">
        <v>2500</v>
      </c>
      <c r="U80" s="334">
        <v>2150</v>
      </c>
      <c r="V80" s="334">
        <v>700</v>
      </c>
      <c r="AA80" s="238" t="s">
        <v>3612</v>
      </c>
      <c r="AB80" s="237" t="s">
        <v>3257</v>
      </c>
      <c r="AH80" s="256" t="s">
        <v>3831</v>
      </c>
      <c r="AI80" s="256" t="s">
        <v>3363</v>
      </c>
    </row>
    <row r="81" spans="1:35" ht="15.75" thickBot="1">
      <c r="A81" s="621"/>
      <c r="B81" s="235" t="str">
        <f t="shared" si="6"/>
        <v>Rocca czarny (lewa i prawa) + Varna czarny (góra i dół)</v>
      </c>
      <c r="C81" s="246" t="str">
        <f>B42</f>
        <v>Rocca czarny matowy - maksymalna zalecana zalecana długość profilu 2150 mm</v>
      </c>
      <c r="D81" s="333" t="str">
        <f>$B$54</f>
        <v>Warna czarny - maksymalna zalecana zalecana długość profilu 1200 mm</v>
      </c>
      <c r="E81" s="192"/>
      <c r="F81" s="192"/>
      <c r="G81" s="241"/>
      <c r="H81" s="241"/>
      <c r="I81" s="241"/>
      <c r="J81" s="241"/>
      <c r="K81" s="242"/>
      <c r="L81" s="242"/>
      <c r="M81" s="239" t="s">
        <v>1352</v>
      </c>
      <c r="N81" s="239" t="s">
        <v>1353</v>
      </c>
      <c r="O81" s="243" t="s">
        <v>1354</v>
      </c>
      <c r="P81" s="239" t="s">
        <v>1355</v>
      </c>
      <c r="Q81" s="191" t="s">
        <v>1466</v>
      </c>
      <c r="R81" s="390" t="s">
        <v>3973</v>
      </c>
      <c r="S81" s="191">
        <v>1200</v>
      </c>
      <c r="T81" s="191">
        <v>2150</v>
      </c>
      <c r="U81" s="334">
        <v>2150</v>
      </c>
      <c r="V81" s="334">
        <v>700</v>
      </c>
      <c r="AA81" s="237" t="s">
        <v>3509</v>
      </c>
      <c r="AB81" s="236" t="s">
        <v>3258</v>
      </c>
      <c r="AH81" s="256" t="s">
        <v>3832</v>
      </c>
      <c r="AI81" s="256" t="s">
        <v>2709</v>
      </c>
    </row>
    <row r="82" spans="1:35" ht="15.75" thickBot="1">
      <c r="A82" s="622"/>
      <c r="B82" s="235"/>
      <c r="C82" s="192">
        <f>$B$28</f>
        <v>0</v>
      </c>
      <c r="D82" s="192" t="str">
        <f>$B$54</f>
        <v>Warna czarny - maksymalna zalecana zalecana długość profilu 1200 mm</v>
      </c>
      <c r="E82" s="192"/>
      <c r="F82" s="192"/>
      <c r="G82" s="241"/>
      <c r="H82" s="241"/>
      <c r="I82" s="241"/>
      <c r="J82" s="241"/>
      <c r="K82" s="242"/>
      <c r="L82" s="242"/>
      <c r="M82" s="239" t="s">
        <v>1541</v>
      </c>
      <c r="N82" s="239" t="s">
        <v>1542</v>
      </c>
      <c r="O82" s="243" t="s">
        <v>1543</v>
      </c>
      <c r="P82" s="239" t="s">
        <v>1544</v>
      </c>
      <c r="Q82" s="191" t="s">
        <v>1545</v>
      </c>
      <c r="R82" s="390" t="s">
        <v>3974</v>
      </c>
      <c r="S82" s="191">
        <v>1200</v>
      </c>
      <c r="T82" s="191">
        <v>2500</v>
      </c>
      <c r="U82" s="334">
        <v>2700</v>
      </c>
      <c r="V82" s="334">
        <v>700</v>
      </c>
      <c r="AA82" s="237" t="s">
        <v>3510</v>
      </c>
      <c r="AB82" s="236" t="s">
        <v>3259</v>
      </c>
      <c r="AH82" s="256" t="s">
        <v>3833</v>
      </c>
      <c r="AI82" s="256" t="s">
        <v>3367</v>
      </c>
    </row>
    <row r="83" spans="1:35">
      <c r="A83" s="193"/>
      <c r="B83" s="331"/>
      <c r="C83" s="332"/>
      <c r="D83" s="332"/>
      <c r="E83" s="192"/>
      <c r="F83" s="192"/>
      <c r="G83" s="241"/>
      <c r="H83" s="241"/>
      <c r="I83" s="241"/>
      <c r="J83" s="241"/>
      <c r="K83" s="242"/>
      <c r="L83" s="242"/>
      <c r="M83" s="239"/>
      <c r="N83" s="239"/>
      <c r="O83" s="243"/>
      <c r="P83" s="239"/>
      <c r="AA83" s="237" t="s">
        <v>3511</v>
      </c>
      <c r="AB83" s="236" t="s">
        <v>3260</v>
      </c>
      <c r="AH83" s="256" t="s">
        <v>3834</v>
      </c>
      <c r="AI83" s="256" t="s">
        <v>3369</v>
      </c>
    </row>
    <row r="84" spans="1:35">
      <c r="A84" s="193"/>
      <c r="B84" s="191" t="s">
        <v>3687</v>
      </c>
      <c r="AA84" s="237" t="s">
        <v>3512</v>
      </c>
      <c r="AB84" s="236" t="s">
        <v>3261</v>
      </c>
      <c r="AH84" s="256" t="s">
        <v>3835</v>
      </c>
      <c r="AI84" s="256" t="s">
        <v>3372</v>
      </c>
    </row>
    <row r="85" spans="1:35">
      <c r="A85" s="193"/>
      <c r="B85" s="240"/>
      <c r="C85" s="240"/>
      <c r="D85" s="240"/>
      <c r="E85" s="192"/>
      <c r="F85" s="192"/>
      <c r="G85" s="241"/>
      <c r="H85" s="241"/>
      <c r="I85" s="241"/>
      <c r="J85" s="241"/>
      <c r="K85" s="242"/>
      <c r="L85" s="242"/>
      <c r="M85" s="239"/>
      <c r="N85" s="239"/>
      <c r="O85" s="243"/>
      <c r="P85" s="239"/>
      <c r="AA85" s="236" t="s">
        <v>3513</v>
      </c>
      <c r="AB85" s="236" t="s">
        <v>3262</v>
      </c>
      <c r="AH85" s="256" t="s">
        <v>3836</v>
      </c>
      <c r="AI85" s="256" t="s">
        <v>3373</v>
      </c>
    </row>
    <row r="86" spans="1:35">
      <c r="A86" s="193"/>
      <c r="AA86" s="236" t="s">
        <v>3514</v>
      </c>
      <c r="AB86" s="236" t="s">
        <v>3263</v>
      </c>
      <c r="AH86" s="256" t="s">
        <v>3837</v>
      </c>
      <c r="AI86" s="256" t="s">
        <v>3380</v>
      </c>
    </row>
    <row r="87" spans="1:35">
      <c r="A87" s="193"/>
      <c r="AA87" s="237" t="s">
        <v>3515</v>
      </c>
      <c r="AB87" s="236" t="s">
        <v>3264</v>
      </c>
      <c r="AH87" s="256" t="s">
        <v>3838</v>
      </c>
      <c r="AI87" s="256" t="s">
        <v>3381</v>
      </c>
    </row>
    <row r="88" spans="1:35">
      <c r="A88" s="193"/>
      <c r="B88" s="240"/>
      <c r="C88" s="192"/>
      <c r="D88" s="192"/>
      <c r="E88" s="192"/>
      <c r="F88" s="192"/>
      <c r="G88" s="241"/>
      <c r="H88" s="241"/>
      <c r="I88" s="241"/>
      <c r="J88" s="241"/>
      <c r="K88" s="242"/>
      <c r="L88" s="242"/>
      <c r="M88" s="239"/>
      <c r="N88" s="239"/>
      <c r="O88" s="243"/>
      <c r="P88" s="239"/>
      <c r="AA88" s="237" t="s">
        <v>3516</v>
      </c>
      <c r="AB88" s="236" t="s">
        <v>3265</v>
      </c>
      <c r="AH88" s="256" t="s">
        <v>3839</v>
      </c>
      <c r="AI88" s="256" t="s">
        <v>3382</v>
      </c>
    </row>
    <row r="89" spans="1:35">
      <c r="B89" s="240"/>
      <c r="C89" s="192"/>
      <c r="D89" s="192"/>
      <c r="E89" s="192"/>
      <c r="F89" s="192"/>
      <c r="G89" s="241"/>
      <c r="H89" s="241"/>
      <c r="I89" s="241"/>
      <c r="J89" s="241"/>
      <c r="K89" s="242"/>
      <c r="L89" s="242"/>
      <c r="M89" s="239"/>
      <c r="N89" s="239"/>
      <c r="O89" s="243"/>
      <c r="P89" s="239"/>
      <c r="AA89" s="237" t="s">
        <v>3517</v>
      </c>
      <c r="AB89" s="236" t="s">
        <v>3266</v>
      </c>
      <c r="AH89" s="256" t="s">
        <v>3840</v>
      </c>
      <c r="AI89" s="256" t="s">
        <v>3383</v>
      </c>
    </row>
    <row r="90" spans="1:35">
      <c r="B90" s="234" t="s">
        <v>24</v>
      </c>
      <c r="C90" s="229" t="s">
        <v>25</v>
      </c>
      <c r="D90" s="230"/>
      <c r="E90" s="229" t="s">
        <v>115</v>
      </c>
      <c r="F90" s="230"/>
      <c r="G90" s="229" t="s">
        <v>116</v>
      </c>
      <c r="H90" s="230"/>
      <c r="I90" s="229" t="s">
        <v>76</v>
      </c>
      <c r="J90" s="230"/>
      <c r="K90" s="229" t="s">
        <v>77</v>
      </c>
      <c r="L90" s="230"/>
      <c r="M90" s="239"/>
      <c r="N90" s="239"/>
      <c r="O90" s="243"/>
      <c r="P90" s="239"/>
      <c r="AA90" s="237" t="s">
        <v>3518</v>
      </c>
      <c r="AB90" s="236" t="s">
        <v>3267</v>
      </c>
      <c r="AH90" s="256" t="s">
        <v>269</v>
      </c>
      <c r="AI90" s="256" t="s">
        <v>3386</v>
      </c>
    </row>
    <row r="91" spans="1:35">
      <c r="B91" s="240" t="str">
        <f>B563</f>
        <v>transparentna</v>
      </c>
      <c r="C91" s="228">
        <f>IF($D$1=1,E91,IF(OR($D$1=2,$D$1=5),G91,IF($D$1=3,I91,IF($D$1=4,K91,IF($D$1=6,G91*1.3,0)))))</f>
        <v>22.842000000000002</v>
      </c>
      <c r="E91" s="252">
        <v>148.71600000000001</v>
      </c>
      <c r="G91" s="253">
        <v>5.1684790419161688</v>
      </c>
      <c r="I91" s="253">
        <v>22.842000000000002</v>
      </c>
      <c r="K91" s="254">
        <v>2116.4516129032259</v>
      </c>
      <c r="M91" s="239"/>
      <c r="N91" s="239"/>
      <c r="O91" s="243"/>
      <c r="P91" s="239"/>
      <c r="AA91" s="237" t="s">
        <v>3519</v>
      </c>
      <c r="AB91" s="236" t="s">
        <v>3268</v>
      </c>
      <c r="AH91" s="256" t="s">
        <v>270</v>
      </c>
      <c r="AI91" s="256" t="s">
        <v>3388</v>
      </c>
    </row>
    <row r="92" spans="1:35">
      <c r="B92" s="240" t="str">
        <f>B564</f>
        <v>Biała</v>
      </c>
      <c r="C92" s="228">
        <f t="shared" ref="C92:C141" si="7">IF($D$1=1,E92,IF(OR($D$1=2,$D$1=5),G92,IF($D$1=3,I92,IF($D$1=4,K92,IF($D$1=6,G92*1.3,0)))))</f>
        <v>19.035000000000004</v>
      </c>
      <c r="E92" s="252">
        <v>123.93</v>
      </c>
      <c r="G92" s="253">
        <v>4.3070658682634742</v>
      </c>
      <c r="I92" s="253">
        <v>19.035000000000004</v>
      </c>
      <c r="K92" s="253">
        <v>1763.7096774193551</v>
      </c>
      <c r="M92" s="239"/>
      <c r="N92" s="239"/>
      <c r="O92" s="243"/>
      <c r="P92" s="239"/>
      <c r="AA92" s="238" t="s">
        <v>3520</v>
      </c>
      <c r="AB92" s="267" t="s">
        <v>3269</v>
      </c>
      <c r="AH92" s="256" t="s">
        <v>957</v>
      </c>
      <c r="AI92" s="256" t="s">
        <v>3389</v>
      </c>
    </row>
    <row r="93" spans="1:35">
      <c r="B93" s="240" t="str">
        <f>B565</f>
        <v>czarna</v>
      </c>
      <c r="C93" s="228">
        <f t="shared" si="7"/>
        <v>22.842000000000002</v>
      </c>
      <c r="E93" s="252">
        <v>148.71600000000001</v>
      </c>
      <c r="G93" s="253">
        <v>5.1684790419161688</v>
      </c>
      <c r="I93" s="253">
        <v>22.842000000000002</v>
      </c>
      <c r="K93" s="254">
        <v>2116.4516129032259</v>
      </c>
      <c r="M93" s="239"/>
      <c r="N93" s="239"/>
      <c r="O93" s="243"/>
      <c r="P93" s="239"/>
      <c r="AA93" s="237" t="s">
        <v>3521</v>
      </c>
      <c r="AB93" s="236" t="s">
        <v>3270</v>
      </c>
      <c r="AH93" s="256" t="s">
        <v>390</v>
      </c>
      <c r="AI93" s="256" t="s">
        <v>389</v>
      </c>
    </row>
    <row r="94" spans="1:35">
      <c r="B94" s="240" t="s">
        <v>1333</v>
      </c>
      <c r="C94" s="228">
        <f t="shared" si="7"/>
        <v>100.88550000000001</v>
      </c>
      <c r="D94" s="192"/>
      <c r="E94" s="192">
        <v>656.82899999999995</v>
      </c>
      <c r="G94" s="192">
        <v>22.827449101796407</v>
      </c>
      <c r="I94" s="241">
        <v>100.88550000000001</v>
      </c>
      <c r="J94" s="241"/>
      <c r="K94" s="241">
        <v>9347.6612903225796</v>
      </c>
      <c r="L94" s="242"/>
      <c r="M94" s="239"/>
      <c r="N94" s="239"/>
      <c r="O94" s="243"/>
      <c r="P94" s="239"/>
      <c r="AA94" s="236" t="s">
        <v>3522</v>
      </c>
      <c r="AB94" s="236" t="s">
        <v>3271</v>
      </c>
      <c r="AH94" s="256" t="s">
        <v>1247</v>
      </c>
      <c r="AI94" s="256" t="s">
        <v>1249</v>
      </c>
    </row>
    <row r="95" spans="1:35">
      <c r="B95" s="235" t="str">
        <f t="shared" ref="B95:B96" si="8">IF($D$1=1,M95,
IF($D$1=2,N95,
IF($D$1=3,O95,
IF($D$1=4,P95,
IF($D$1=5,Q95,
IF($D$1=6,R95,0))))))</f>
        <v>Połysk</v>
      </c>
      <c r="C95" s="228">
        <f t="shared" si="7"/>
        <v>9.9052500000000006</v>
      </c>
      <c r="E95" s="192">
        <v>64.489499999999992</v>
      </c>
      <c r="G95" s="191">
        <v>2.2412694610778447</v>
      </c>
      <c r="I95" s="241">
        <v>9.9052500000000006</v>
      </c>
      <c r="K95" s="191">
        <v>917.7822580645161</v>
      </c>
      <c r="M95" s="239" t="s">
        <v>2054</v>
      </c>
      <c r="N95" s="239" t="s">
        <v>2054</v>
      </c>
      <c r="O95" s="243" t="s">
        <v>2058</v>
      </c>
      <c r="P95" s="239" t="s">
        <v>2059</v>
      </c>
      <c r="Q95" s="191" t="s">
        <v>2056</v>
      </c>
      <c r="R95" s="390" t="s">
        <v>3975</v>
      </c>
      <c r="AA95" s="236" t="s">
        <v>3523</v>
      </c>
      <c r="AB95" s="236" t="s">
        <v>3320</v>
      </c>
      <c r="AH95" s="256" t="s">
        <v>1246</v>
      </c>
      <c r="AI95" s="256" t="s">
        <v>1245</v>
      </c>
    </row>
    <row r="96" spans="1:35">
      <c r="B96" s="235" t="str">
        <f t="shared" si="8"/>
        <v>Matowy</v>
      </c>
      <c r="C96" s="228">
        <f t="shared" si="7"/>
        <v>6.5741249999999996</v>
      </c>
      <c r="E96" s="192">
        <v>42.801749999999998</v>
      </c>
      <c r="G96" s="191">
        <v>1.4875329341317365</v>
      </c>
      <c r="I96" s="241">
        <v>6.5741249999999996</v>
      </c>
      <c r="K96" s="191">
        <v>609.13306451612902</v>
      </c>
      <c r="M96" s="239" t="s">
        <v>2055</v>
      </c>
      <c r="N96" s="239" t="s">
        <v>2055</v>
      </c>
      <c r="O96" s="243" t="s">
        <v>2060</v>
      </c>
      <c r="P96" s="239" t="s">
        <v>2057</v>
      </c>
      <c r="Q96" s="191" t="s">
        <v>2057</v>
      </c>
      <c r="R96" s="390" t="s">
        <v>2055</v>
      </c>
      <c r="AA96" s="236" t="s">
        <v>3524</v>
      </c>
      <c r="AB96" s="267" t="s">
        <v>3318</v>
      </c>
      <c r="AH96" s="256" t="s">
        <v>1251</v>
      </c>
      <c r="AI96" s="256" t="s">
        <v>1250</v>
      </c>
    </row>
    <row r="97" spans="1:35">
      <c r="B97" s="240" t="s">
        <v>1334</v>
      </c>
      <c r="C97" s="228">
        <f t="shared" si="7"/>
        <v>3.912300000000001</v>
      </c>
      <c r="E97" s="192">
        <v>23.538438000000006</v>
      </c>
      <c r="G97" s="191">
        <v>0.85050000000000014</v>
      </c>
      <c r="I97" s="241">
        <v>3.912300000000001</v>
      </c>
      <c r="K97" s="191">
        <v>311.88402000000002</v>
      </c>
      <c r="AA97" s="267" t="s">
        <v>3617</v>
      </c>
      <c r="AB97" s="267" t="s">
        <v>3272</v>
      </c>
      <c r="AH97" s="256" t="s">
        <v>555</v>
      </c>
      <c r="AI97" s="256" t="s">
        <v>3348</v>
      </c>
    </row>
    <row r="98" spans="1:35">
      <c r="B98" s="255" t="s">
        <v>6</v>
      </c>
      <c r="C98" s="624" t="s">
        <v>28</v>
      </c>
      <c r="D98" s="624"/>
      <c r="E98" s="624" t="s">
        <v>28</v>
      </c>
      <c r="F98" s="624"/>
      <c r="G98" s="624" t="s">
        <v>28</v>
      </c>
      <c r="H98" s="624"/>
      <c r="I98" s="624" t="s">
        <v>28</v>
      </c>
      <c r="J98" s="624"/>
      <c r="K98" s="624" t="s">
        <v>28</v>
      </c>
      <c r="L98" s="625"/>
      <c r="M98" s="233"/>
      <c r="AA98" s="236" t="s">
        <v>3525</v>
      </c>
      <c r="AB98" s="236" t="s">
        <v>3273</v>
      </c>
      <c r="AH98" s="256" t="s">
        <v>950</v>
      </c>
      <c r="AI98" s="256" t="s">
        <v>3351</v>
      </c>
    </row>
    <row r="99" spans="1:35">
      <c r="A99" s="619" t="s">
        <v>1305</v>
      </c>
      <c r="B99" s="398" t="str">
        <f t="shared" ref="B99" si="9">IF($D$1=1,M99,
IF($D$1=2,N99,
IF($D$1=3,O99,
IF($D$1=4,P99,
IF($D$1=5,Q99,
IF($D$1=6,R99,0))))))</f>
        <v>Czyste</v>
      </c>
      <c r="C99" s="228">
        <f t="shared" si="7"/>
        <v>203.86080000000001</v>
      </c>
      <c r="D99" s="314"/>
      <c r="E99" s="316">
        <v>1288.8720000000001</v>
      </c>
      <c r="F99" s="316"/>
      <c r="G99" s="192">
        <v>44.793485029940122</v>
      </c>
      <c r="H99" s="192"/>
      <c r="I99" s="316">
        <v>203.86080000000001</v>
      </c>
      <c r="J99" s="316"/>
      <c r="K99" s="316">
        <v>18342.580645161292</v>
      </c>
      <c r="L99" s="316"/>
      <c r="M99" s="256" t="s">
        <v>387</v>
      </c>
      <c r="N99" s="256" t="s">
        <v>388</v>
      </c>
      <c r="O99" s="256" t="s">
        <v>389</v>
      </c>
      <c r="P99" s="256" t="s">
        <v>390</v>
      </c>
      <c r="Q99" s="191" t="s">
        <v>1520</v>
      </c>
      <c r="R99" s="390" t="s">
        <v>3984</v>
      </c>
      <c r="T99" s="191">
        <v>2550</v>
      </c>
      <c r="U99" s="191">
        <v>1605</v>
      </c>
      <c r="AA99" s="236" t="s">
        <v>3526</v>
      </c>
      <c r="AB99" s="236" t="s">
        <v>3274</v>
      </c>
      <c r="AH99" s="256" t="s">
        <v>330</v>
      </c>
      <c r="AI99" s="256" t="s">
        <v>3360</v>
      </c>
    </row>
    <row r="100" spans="1:35">
      <c r="A100" s="619"/>
      <c r="B100" s="240" t="s">
        <v>2321</v>
      </c>
      <c r="C100" s="228">
        <f t="shared" si="7"/>
        <v>27.538704000000006</v>
      </c>
      <c r="D100" s="192"/>
      <c r="E100">
        <v>157.12618723199998</v>
      </c>
      <c r="G100">
        <v>6.1819200000000007</v>
      </c>
      <c r="H100"/>
      <c r="I100">
        <v>27.538704000000006</v>
      </c>
      <c r="J100" s="316"/>
      <c r="K100">
        <v>2137.5912960000005</v>
      </c>
      <c r="L100" s="316"/>
      <c r="M100" s="256" t="s">
        <v>1248</v>
      </c>
      <c r="N100" s="256" t="s">
        <v>1248</v>
      </c>
      <c r="O100" s="256" t="s">
        <v>1249</v>
      </c>
      <c r="P100" s="256" t="s">
        <v>1247</v>
      </c>
      <c r="Q100" s="191" t="s">
        <v>1559</v>
      </c>
      <c r="R100" s="390" t="s">
        <v>3976</v>
      </c>
      <c r="AA100" s="236" t="s">
        <v>3527</v>
      </c>
      <c r="AB100" s="267" t="s">
        <v>2705</v>
      </c>
      <c r="AH100" s="256" t="s">
        <v>955</v>
      </c>
      <c r="AI100" s="256" t="s">
        <v>3361</v>
      </c>
    </row>
    <row r="101" spans="1:35">
      <c r="A101" s="619"/>
      <c r="B101" s="240" t="s">
        <v>2323</v>
      </c>
      <c r="C101" s="228">
        <f t="shared" si="7"/>
        <v>29.113344000000001</v>
      </c>
      <c r="D101" s="314"/>
      <c r="E101" s="316">
        <v>166.14551520000003</v>
      </c>
      <c r="F101" s="316"/>
      <c r="G101" s="192">
        <v>6.5318400000000008</v>
      </c>
      <c r="H101" s="192"/>
      <c r="I101" s="316">
        <v>29.113344000000001</v>
      </c>
      <c r="J101" s="316"/>
      <c r="K101" s="316">
        <v>2260.2965760000002</v>
      </c>
      <c r="L101" s="316"/>
      <c r="M101" s="256" t="s">
        <v>1074</v>
      </c>
      <c r="N101" s="256" t="s">
        <v>1074</v>
      </c>
      <c r="O101" s="256" t="s">
        <v>1245</v>
      </c>
      <c r="P101" s="256" t="s">
        <v>1246</v>
      </c>
      <c r="Q101" s="191" t="s">
        <v>1557</v>
      </c>
      <c r="R101" s="390" t="s">
        <v>3977</v>
      </c>
      <c r="AA101" s="236" t="s">
        <v>3528</v>
      </c>
      <c r="AB101" s="267" t="s">
        <v>3319</v>
      </c>
      <c r="AH101" s="256" t="s">
        <v>947</v>
      </c>
      <c r="AI101" s="256" t="s">
        <v>3362</v>
      </c>
    </row>
    <row r="102" spans="1:35">
      <c r="A102" s="619"/>
      <c r="B102" s="243" t="str">
        <f t="shared" ref="B102:B141" si="10">IF($D$1=1,M102,
IF($D$1=2,N102,
IF($D$1=3,O102,
IF($D$1=4,P102,
IF($D$1=5,Q102,
IF($D$1=6,R102,0))))))</f>
        <v>Folia</v>
      </c>
      <c r="C102" s="228">
        <f t="shared" si="7"/>
        <v>30.279744000000004</v>
      </c>
      <c r="D102" s="314"/>
      <c r="E102" s="316">
        <v>167.31191520000004</v>
      </c>
      <c r="G102" s="316">
        <v>7.6982400000000002</v>
      </c>
      <c r="I102" s="192">
        <v>30.279744000000004</v>
      </c>
      <c r="J102" s="316"/>
      <c r="K102" s="192">
        <v>2261.4629760000003</v>
      </c>
      <c r="L102" s="316"/>
      <c r="M102" s="256" t="s">
        <v>1019</v>
      </c>
      <c r="N102" s="256" t="s">
        <v>1019</v>
      </c>
      <c r="O102" s="256" t="s">
        <v>1250</v>
      </c>
      <c r="P102" s="256" t="s">
        <v>1251</v>
      </c>
      <c r="Q102" s="191" t="s">
        <v>1558</v>
      </c>
      <c r="R102" s="390" t="s">
        <v>3978</v>
      </c>
      <c r="AA102" s="236" t="s">
        <v>3529</v>
      </c>
      <c r="AB102" s="267" t="s">
        <v>3275</v>
      </c>
      <c r="AH102" s="256" t="s">
        <v>3841</v>
      </c>
      <c r="AI102" s="256" t="s">
        <v>3363</v>
      </c>
    </row>
    <row r="103" spans="1:35">
      <c r="A103" s="619"/>
      <c r="B103" s="243" t="str">
        <f t="shared" si="10"/>
        <v xml:space="preserve">Czyste hartowane (dostawa 3 tygodnie) </v>
      </c>
      <c r="C103" s="228">
        <f t="shared" si="7"/>
        <v>31.446144000000004</v>
      </c>
      <c r="D103" s="314"/>
      <c r="E103" s="316">
        <v>168.4783152</v>
      </c>
      <c r="F103" s="316"/>
      <c r="G103" s="192">
        <v>8.8646400000000014</v>
      </c>
      <c r="H103" s="192"/>
      <c r="I103" s="316">
        <v>31.446144000000004</v>
      </c>
      <c r="J103" s="316"/>
      <c r="K103" s="316">
        <v>2262.6293760000003</v>
      </c>
      <c r="L103" s="316"/>
      <c r="M103" s="256" t="s">
        <v>549</v>
      </c>
      <c r="N103" s="256" t="s">
        <v>550</v>
      </c>
      <c r="O103" s="256" t="s">
        <v>2519</v>
      </c>
      <c r="P103" s="256" t="s">
        <v>555</v>
      </c>
      <c r="Q103" s="191" t="s">
        <v>3850</v>
      </c>
      <c r="R103" s="390" t="s">
        <v>3979</v>
      </c>
      <c r="AA103" s="236" t="s">
        <v>3530</v>
      </c>
      <c r="AB103" s="267" t="s">
        <v>3276</v>
      </c>
      <c r="AH103" s="256" t="s">
        <v>3842</v>
      </c>
      <c r="AI103" s="256" t="s">
        <v>2709</v>
      </c>
    </row>
    <row r="104" spans="1:35">
      <c r="A104" s="619"/>
      <c r="B104" s="243" t="str">
        <f t="shared" si="10"/>
        <v xml:space="preserve">Satinato </v>
      </c>
      <c r="C104" s="228">
        <f t="shared" si="7"/>
        <v>260.0532</v>
      </c>
      <c r="D104" s="314"/>
      <c r="E104" s="316">
        <v>1644.1379999999999</v>
      </c>
      <c r="F104" s="316"/>
      <c r="G104" s="192">
        <v>57.140407185628746</v>
      </c>
      <c r="H104" s="192"/>
      <c r="I104" s="316">
        <v>260.0532</v>
      </c>
      <c r="J104" s="316"/>
      <c r="K104" s="316">
        <v>23398.548387096776</v>
      </c>
      <c r="L104" s="316"/>
      <c r="M104" s="256" t="s">
        <v>391</v>
      </c>
      <c r="N104" s="256" t="s">
        <v>391</v>
      </c>
      <c r="O104" s="256" t="s">
        <v>3349</v>
      </c>
      <c r="P104" s="256" t="s">
        <v>391</v>
      </c>
      <c r="Q104" s="191" t="s">
        <v>391</v>
      </c>
      <c r="R104" s="390" t="s">
        <v>391</v>
      </c>
      <c r="T104" s="191">
        <v>2550</v>
      </c>
      <c r="U104" s="191">
        <v>1605</v>
      </c>
      <c r="AA104" s="267" t="s">
        <v>3531</v>
      </c>
      <c r="AB104" s="267" t="s">
        <v>3277</v>
      </c>
      <c r="AH104" s="256" t="s">
        <v>3843</v>
      </c>
      <c r="AI104" s="256" t="s">
        <v>3367</v>
      </c>
    </row>
    <row r="105" spans="1:35">
      <c r="A105" s="619"/>
      <c r="B105" s="243" t="str">
        <f t="shared" si="10"/>
        <v xml:space="preserve">MASTER SOFT </v>
      </c>
      <c r="C105" s="228">
        <f t="shared" si="7"/>
        <v>337.15439999999995</v>
      </c>
      <c r="D105" s="314"/>
      <c r="E105" s="316">
        <v>2131.5959999999995</v>
      </c>
      <c r="F105" s="316"/>
      <c r="G105" s="192">
        <v>74.081532934131729</v>
      </c>
      <c r="H105" s="192"/>
      <c r="I105" s="316">
        <v>337.15439999999995</v>
      </c>
      <c r="J105" s="316"/>
      <c r="K105" s="316">
        <v>30335.806451612902</v>
      </c>
      <c r="L105" s="316"/>
      <c r="M105" s="256" t="s">
        <v>3759</v>
      </c>
      <c r="N105" s="256" t="s">
        <v>3759</v>
      </c>
      <c r="O105" s="256" t="s">
        <v>3350</v>
      </c>
      <c r="P105" s="256" t="s">
        <v>3759</v>
      </c>
      <c r="Q105" s="191" t="s">
        <v>3759</v>
      </c>
      <c r="R105" s="390" t="s">
        <v>3759</v>
      </c>
      <c r="T105" s="191">
        <v>2700</v>
      </c>
      <c r="U105" s="191">
        <v>1605</v>
      </c>
      <c r="AA105" s="267" t="s">
        <v>3621</v>
      </c>
      <c r="AB105" s="267" t="s">
        <v>3278</v>
      </c>
      <c r="AH105" s="256" t="s">
        <v>3844</v>
      </c>
      <c r="AI105" s="256" t="s">
        <v>3369</v>
      </c>
    </row>
    <row r="106" spans="1:35">
      <c r="A106" s="619"/>
      <c r="B106" s="243" t="str">
        <f t="shared" si="10"/>
        <v xml:space="preserve">Satinato brązowe/Decormat Braz </v>
      </c>
      <c r="C106" s="228">
        <f t="shared" si="7"/>
        <v>330.62040000000002</v>
      </c>
      <c r="D106" s="192"/>
      <c r="E106" s="316">
        <v>2090.2860000000001</v>
      </c>
      <c r="F106" s="316"/>
      <c r="G106" s="192">
        <v>72.64584431137726</v>
      </c>
      <c r="H106" s="192"/>
      <c r="I106" s="316">
        <v>330.62040000000002</v>
      </c>
      <c r="J106" s="316"/>
      <c r="K106" s="316">
        <v>29747.903225806454</v>
      </c>
      <c r="L106" s="316"/>
      <c r="M106" s="256" t="s">
        <v>3760</v>
      </c>
      <c r="N106" s="256" t="s">
        <v>3867</v>
      </c>
      <c r="O106" s="256" t="s">
        <v>3767</v>
      </c>
      <c r="P106" s="256" t="s">
        <v>3869</v>
      </c>
      <c r="Q106" s="191" t="s">
        <v>3870</v>
      </c>
      <c r="R106" s="390" t="s">
        <v>3985</v>
      </c>
      <c r="T106" s="191">
        <v>2700</v>
      </c>
      <c r="U106" s="191">
        <v>1605</v>
      </c>
      <c r="AA106" s="235" t="s">
        <v>3625</v>
      </c>
      <c r="AB106" s="267" t="s">
        <v>3279</v>
      </c>
      <c r="AH106" s="256" t="s">
        <v>3845</v>
      </c>
      <c r="AI106" s="256" t="s">
        <v>3372</v>
      </c>
    </row>
    <row r="107" spans="1:35">
      <c r="A107" s="619"/>
      <c r="B107" s="243" t="str">
        <f t="shared" si="10"/>
        <v xml:space="preserve">Satinato grafit  Decormat grafit </v>
      </c>
      <c r="C107" s="228">
        <f t="shared" si="7"/>
        <v>330.62040000000002</v>
      </c>
      <c r="D107" s="314"/>
      <c r="E107" s="316">
        <v>2090.2860000000001</v>
      </c>
      <c r="F107" s="316"/>
      <c r="G107" s="192">
        <v>72.64584431137726</v>
      </c>
      <c r="H107" s="192"/>
      <c r="I107" s="316">
        <v>330.62040000000002</v>
      </c>
      <c r="J107" s="316"/>
      <c r="K107" s="316">
        <v>29747.903225806454</v>
      </c>
      <c r="L107" s="316"/>
      <c r="M107" s="256" t="s">
        <v>3761</v>
      </c>
      <c r="N107" s="256" t="s">
        <v>3868</v>
      </c>
      <c r="O107" s="256" t="s">
        <v>3768</v>
      </c>
      <c r="P107" s="256" t="s">
        <v>3868</v>
      </c>
      <c r="Q107" s="191" t="s">
        <v>3871</v>
      </c>
      <c r="R107" s="390" t="s">
        <v>3986</v>
      </c>
      <c r="T107" s="191">
        <v>2700</v>
      </c>
      <c r="U107" s="191">
        <v>1605</v>
      </c>
      <c r="AA107" s="243" t="s">
        <v>3532</v>
      </c>
      <c r="AB107" s="243" t="s">
        <v>3280</v>
      </c>
      <c r="AH107" s="256" t="s">
        <v>3846</v>
      </c>
      <c r="AI107" s="256" t="s">
        <v>3373</v>
      </c>
    </row>
    <row r="108" spans="1:35">
      <c r="A108" s="619"/>
      <c r="B108" s="243" t="str">
        <f t="shared" si="10"/>
        <v>Masterscreen - maksymalne wymiary 2160 x 1650 mm</v>
      </c>
      <c r="C108" s="228">
        <f t="shared" si="7"/>
        <v>360.67679999999996</v>
      </c>
      <c r="D108" s="314"/>
      <c r="E108" s="316">
        <v>2280.3119999999999</v>
      </c>
      <c r="F108" s="316"/>
      <c r="G108" s="192">
        <v>79.250011976047915</v>
      </c>
      <c r="H108" s="192"/>
      <c r="I108" s="316">
        <v>360.67679999999996</v>
      </c>
      <c r="J108" s="316"/>
      <c r="K108" s="316">
        <v>32452.258064516129</v>
      </c>
      <c r="L108" s="316"/>
      <c r="M108" s="256" t="s">
        <v>3805</v>
      </c>
      <c r="N108" s="256" t="s">
        <v>3806</v>
      </c>
      <c r="O108" s="256" t="s">
        <v>3807</v>
      </c>
      <c r="P108" s="256" t="s">
        <v>3808</v>
      </c>
      <c r="Q108" s="191" t="s">
        <v>3809</v>
      </c>
      <c r="R108" s="390" t="s">
        <v>3987</v>
      </c>
      <c r="T108" s="191">
        <v>2160</v>
      </c>
      <c r="U108" s="191">
        <v>1650</v>
      </c>
      <c r="AA108" s="243" t="s">
        <v>3533</v>
      </c>
      <c r="AB108" s="243" t="s">
        <v>3281</v>
      </c>
      <c r="AH108" s="257" t="s">
        <v>3847</v>
      </c>
      <c r="AI108" s="256" t="s">
        <v>3380</v>
      </c>
    </row>
    <row r="109" spans="1:35">
      <c r="A109" s="619"/>
      <c r="B109" s="243" t="str">
        <f t="shared" si="10"/>
        <v xml:space="preserve">Venus VG10 </v>
      </c>
      <c r="C109" s="228">
        <f t="shared" si="7"/>
        <v>326.17728000000005</v>
      </c>
      <c r="D109" s="192"/>
      <c r="E109" s="316">
        <v>2062.1952000000001</v>
      </c>
      <c r="F109" s="316"/>
      <c r="G109" s="192">
        <v>71.669576047904201</v>
      </c>
      <c r="H109" s="192"/>
      <c r="I109" s="316">
        <v>326.17728000000005</v>
      </c>
      <c r="J109" s="316"/>
      <c r="K109" s="316">
        <v>29348.129032258068</v>
      </c>
      <c r="L109" s="316"/>
      <c r="M109" s="256" t="s">
        <v>827</v>
      </c>
      <c r="N109" s="256" t="s">
        <v>827</v>
      </c>
      <c r="O109" s="256" t="s">
        <v>3354</v>
      </c>
      <c r="P109" s="256" t="s">
        <v>827</v>
      </c>
      <c r="Q109" s="256" t="s">
        <v>827</v>
      </c>
      <c r="R109" s="390" t="s">
        <v>827</v>
      </c>
      <c r="T109" s="191">
        <v>3210</v>
      </c>
      <c r="U109" s="191">
        <v>2250</v>
      </c>
      <c r="AA109" s="243" t="s">
        <v>3534</v>
      </c>
      <c r="AB109" s="243" t="s">
        <v>3282</v>
      </c>
      <c r="AH109" s="257" t="s">
        <v>3771</v>
      </c>
      <c r="AI109" s="256" t="s">
        <v>3381</v>
      </c>
    </row>
    <row r="110" spans="1:35">
      <c r="A110" s="619"/>
      <c r="B110" s="243" t="str">
        <f t="shared" si="10"/>
        <v>Stopsol brąz - maksymalne wymiary 2250 x 1605 mm</v>
      </c>
      <c r="C110" s="228">
        <f t="shared" si="7"/>
        <v>439.08479999999997</v>
      </c>
      <c r="D110" s="314"/>
      <c r="E110" s="316">
        <v>2776.0319999999997</v>
      </c>
      <c r="F110" s="316"/>
      <c r="G110" s="192">
        <v>96.478275449101787</v>
      </c>
      <c r="H110" s="192"/>
      <c r="I110" s="316">
        <v>439.08479999999997</v>
      </c>
      <c r="J110" s="316"/>
      <c r="K110" s="316">
        <v>39507.096774193546</v>
      </c>
      <c r="L110" s="316"/>
      <c r="M110" s="256" t="s">
        <v>3815</v>
      </c>
      <c r="N110" s="256" t="s">
        <v>3816</v>
      </c>
      <c r="O110" s="256" t="s">
        <v>3817</v>
      </c>
      <c r="P110" s="256" t="s">
        <v>3818</v>
      </c>
      <c r="Q110" s="191" t="s">
        <v>3819</v>
      </c>
      <c r="R110" s="390" t="s">
        <v>3980</v>
      </c>
      <c r="T110" s="191">
        <v>2250</v>
      </c>
      <c r="U110" s="191">
        <v>1605</v>
      </c>
      <c r="AA110" s="243" t="s">
        <v>3535</v>
      </c>
      <c r="AB110" s="243" t="s">
        <v>2736</v>
      </c>
      <c r="AH110" s="257" t="s">
        <v>3848</v>
      </c>
      <c r="AI110" s="256" t="s">
        <v>3382</v>
      </c>
    </row>
    <row r="111" spans="1:35">
      <c r="A111" s="619"/>
      <c r="B111" s="243" t="str">
        <f t="shared" si="10"/>
        <v xml:space="preserve">Lakomat </v>
      </c>
      <c r="C111" s="228">
        <f t="shared" si="7"/>
        <v>288.80279999999999</v>
      </c>
      <c r="D111" s="314"/>
      <c r="E111" s="316">
        <v>1825.9019999999998</v>
      </c>
      <c r="F111" s="316"/>
      <c r="G111" s="192">
        <v>63.457437125748505</v>
      </c>
      <c r="H111" s="192"/>
      <c r="I111" s="316">
        <v>288.80279999999999</v>
      </c>
      <c r="J111" s="316"/>
      <c r="K111" s="316">
        <v>25985.322580645159</v>
      </c>
      <c r="L111" s="316"/>
      <c r="M111" s="256" t="s">
        <v>392</v>
      </c>
      <c r="N111" s="256" t="s">
        <v>392</v>
      </c>
      <c r="O111" s="256" t="s">
        <v>3356</v>
      </c>
      <c r="P111" s="256" t="s">
        <v>392</v>
      </c>
      <c r="Q111" s="191" t="s">
        <v>3851</v>
      </c>
      <c r="R111" s="390" t="s">
        <v>392</v>
      </c>
      <c r="T111" s="191">
        <v>2550</v>
      </c>
      <c r="U111" s="191">
        <v>1605</v>
      </c>
      <c r="AA111" s="243" t="s">
        <v>3536</v>
      </c>
      <c r="AB111" s="243" t="s">
        <v>3283</v>
      </c>
      <c r="AH111" s="257" t="s">
        <v>3849</v>
      </c>
      <c r="AI111" s="256" t="s">
        <v>3383</v>
      </c>
    </row>
    <row r="112" spans="1:35">
      <c r="A112" s="619"/>
      <c r="B112" s="243" t="str">
        <f t="shared" si="10"/>
        <v xml:space="preserve">MASTER FLEX </v>
      </c>
      <c r="C112" s="228">
        <f t="shared" si="7"/>
        <v>337.15439999999995</v>
      </c>
      <c r="D112" s="314"/>
      <c r="E112" s="316">
        <v>2131.5959999999995</v>
      </c>
      <c r="F112" s="316"/>
      <c r="G112" s="192">
        <v>74.081532934131729</v>
      </c>
      <c r="H112" s="192"/>
      <c r="I112" s="316">
        <v>337.15439999999995</v>
      </c>
      <c r="J112" s="316"/>
      <c r="K112" s="316">
        <v>30335.806451612902</v>
      </c>
      <c r="L112" s="316"/>
      <c r="M112" s="256" t="s">
        <v>3793</v>
      </c>
      <c r="N112" s="256" t="s">
        <v>3793</v>
      </c>
      <c r="O112" s="256" t="s">
        <v>3357</v>
      </c>
      <c r="P112" s="256" t="s">
        <v>3793</v>
      </c>
      <c r="Q112" s="191" t="s">
        <v>3793</v>
      </c>
      <c r="R112" s="390" t="s">
        <v>3793</v>
      </c>
      <c r="T112" s="191">
        <v>2000</v>
      </c>
      <c r="U112" s="191">
        <v>1605</v>
      </c>
      <c r="AA112" s="243" t="s">
        <v>3537</v>
      </c>
      <c r="AB112" s="243" t="s">
        <v>3321</v>
      </c>
      <c r="AH112" s="257" t="s">
        <v>331</v>
      </c>
      <c r="AI112" s="256" t="s">
        <v>3386</v>
      </c>
    </row>
    <row r="113" spans="1:35">
      <c r="A113" s="619"/>
      <c r="B113" s="243" t="str">
        <f t="shared" si="10"/>
        <v xml:space="preserve">Antisol brąz </v>
      </c>
      <c r="C113" s="228">
        <f t="shared" si="7"/>
        <v>258.22368</v>
      </c>
      <c r="D113" s="314"/>
      <c r="E113" s="316">
        <v>1632.5712000000001</v>
      </c>
      <c r="F113" s="316"/>
      <c r="G113" s="192">
        <v>56.738414371257491</v>
      </c>
      <c r="H113" s="192"/>
      <c r="I113" s="316">
        <v>258.22368</v>
      </c>
      <c r="J113" s="316"/>
      <c r="K113" s="316">
        <v>23233.93548387097</v>
      </c>
      <c r="L113" s="316"/>
      <c r="M113" s="256" t="s">
        <v>399</v>
      </c>
      <c r="N113" s="256" t="s">
        <v>399</v>
      </c>
      <c r="O113" s="256" t="s">
        <v>3358</v>
      </c>
      <c r="P113" s="256" t="s">
        <v>399</v>
      </c>
      <c r="Q113" s="191" t="s">
        <v>978</v>
      </c>
      <c r="R113" s="390" t="s">
        <v>978</v>
      </c>
      <c r="T113" s="191">
        <v>2550</v>
      </c>
      <c r="U113" s="191">
        <v>1605</v>
      </c>
      <c r="AA113" s="236" t="s">
        <v>3545</v>
      </c>
      <c r="AB113" s="236" t="s">
        <v>3237</v>
      </c>
      <c r="AH113" s="257" t="s">
        <v>332</v>
      </c>
      <c r="AI113" s="256" t="s">
        <v>3388</v>
      </c>
    </row>
    <row r="114" spans="1:35">
      <c r="A114" s="619"/>
      <c r="B114" s="243" t="str">
        <f t="shared" si="10"/>
        <v xml:space="preserve">Antisol grafit </v>
      </c>
      <c r="C114" s="228">
        <f t="shared" si="7"/>
        <v>258.22368</v>
      </c>
      <c r="D114" s="314"/>
      <c r="E114" s="316">
        <v>1632.5712000000001</v>
      </c>
      <c r="F114" s="316"/>
      <c r="G114" s="192">
        <v>56.738414371257491</v>
      </c>
      <c r="H114" s="192"/>
      <c r="I114" s="316">
        <v>258.22368</v>
      </c>
      <c r="J114" s="316"/>
      <c r="K114" s="316">
        <v>23233.93548387097</v>
      </c>
      <c r="L114" s="316"/>
      <c r="M114" s="256" t="s">
        <v>400</v>
      </c>
      <c r="N114" s="256" t="s">
        <v>400</v>
      </c>
      <c r="O114" s="256" t="s">
        <v>3359</v>
      </c>
      <c r="P114" s="256" t="s">
        <v>400</v>
      </c>
      <c r="Q114" s="191" t="s">
        <v>979</v>
      </c>
      <c r="R114" s="390" t="s">
        <v>979</v>
      </c>
      <c r="T114" s="191">
        <v>2550</v>
      </c>
      <c r="U114" s="191">
        <v>1605</v>
      </c>
      <c r="AA114" s="236" t="s">
        <v>3546</v>
      </c>
      <c r="AB114" s="236" t="s">
        <v>3317</v>
      </c>
      <c r="AH114" s="257" t="s">
        <v>958</v>
      </c>
      <c r="AI114" s="256" t="s">
        <v>3389</v>
      </c>
    </row>
    <row r="115" spans="1:35">
      <c r="A115" s="619"/>
      <c r="B115" s="243" t="str">
        <f t="shared" si="10"/>
        <v xml:space="preserve">Lustro </v>
      </c>
      <c r="C115" s="228">
        <f t="shared" si="7"/>
        <v>271.81440000000003</v>
      </c>
      <c r="D115" s="314"/>
      <c r="E115" s="316">
        <v>1718.4960000000001</v>
      </c>
      <c r="F115" s="316"/>
      <c r="G115" s="192">
        <v>59.724646706586839</v>
      </c>
      <c r="H115" s="192"/>
      <c r="I115" s="316">
        <v>271.81440000000003</v>
      </c>
      <c r="J115" s="316"/>
      <c r="K115" s="316">
        <v>24456.774193548394</v>
      </c>
      <c r="L115" s="316"/>
      <c r="M115" s="256" t="s">
        <v>393</v>
      </c>
      <c r="N115" s="256" t="s">
        <v>394</v>
      </c>
      <c r="O115" s="256" t="s">
        <v>3360</v>
      </c>
      <c r="P115" s="256" t="s">
        <v>330</v>
      </c>
      <c r="Q115" s="191" t="s">
        <v>980</v>
      </c>
      <c r="R115" s="390" t="s">
        <v>3988</v>
      </c>
      <c r="T115" s="191">
        <v>2550</v>
      </c>
      <c r="U115" s="191">
        <v>1605</v>
      </c>
      <c r="AA115" s="236" t="s">
        <v>3547</v>
      </c>
      <c r="AB115" s="236" t="s">
        <v>3238</v>
      </c>
      <c r="AH115" s="191" t="s">
        <v>1520</v>
      </c>
      <c r="AI115" s="256" t="s">
        <v>389</v>
      </c>
    </row>
    <row r="116" spans="1:35">
      <c r="A116" s="619"/>
      <c r="B116" s="243" t="str">
        <f t="shared" si="10"/>
        <v xml:space="preserve">Lustro brązowe </v>
      </c>
      <c r="C116" s="228">
        <f t="shared" si="7"/>
        <v>356.75640000000004</v>
      </c>
      <c r="D116" s="314"/>
      <c r="E116" s="316">
        <v>2255.5260000000003</v>
      </c>
      <c r="F116" s="316"/>
      <c r="G116" s="192">
        <v>78.388598802395222</v>
      </c>
      <c r="H116" s="192"/>
      <c r="I116" s="316">
        <v>356.75640000000004</v>
      </c>
      <c r="J116" s="316"/>
      <c r="K116" s="316">
        <v>32099.516129032261</v>
      </c>
      <c r="L116" s="316"/>
      <c r="M116" s="256" t="s">
        <v>943</v>
      </c>
      <c r="N116" s="256" t="s">
        <v>951</v>
      </c>
      <c r="O116" s="256" t="s">
        <v>3361</v>
      </c>
      <c r="P116" s="256" t="s">
        <v>955</v>
      </c>
      <c r="Q116" s="191" t="s">
        <v>981</v>
      </c>
      <c r="R116" s="390" t="s">
        <v>3989</v>
      </c>
      <c r="T116" s="191">
        <v>2250</v>
      </c>
      <c r="U116" s="191">
        <v>1605</v>
      </c>
      <c r="AA116" s="236" t="s">
        <v>3589</v>
      </c>
      <c r="AB116" s="236" t="s">
        <v>3239</v>
      </c>
      <c r="AH116" s="191" t="s">
        <v>1559</v>
      </c>
      <c r="AI116" s="256" t="s">
        <v>1249</v>
      </c>
    </row>
    <row r="117" spans="1:35">
      <c r="A117" s="619"/>
      <c r="B117" s="243" t="str">
        <f t="shared" si="10"/>
        <v xml:space="preserve">Lustro grafit </v>
      </c>
      <c r="C117" s="228">
        <f t="shared" si="7"/>
        <v>356.75640000000004</v>
      </c>
      <c r="D117" s="314"/>
      <c r="E117" s="316">
        <v>2255.5260000000003</v>
      </c>
      <c r="F117" s="316"/>
      <c r="G117" s="192">
        <v>78.388598802395222</v>
      </c>
      <c r="H117" s="192"/>
      <c r="I117" s="316">
        <v>356.75640000000004</v>
      </c>
      <c r="J117" s="316"/>
      <c r="K117" s="316">
        <v>32099.516129032261</v>
      </c>
      <c r="L117" s="316"/>
      <c r="M117" s="256" t="s">
        <v>944</v>
      </c>
      <c r="N117" s="256" t="s">
        <v>945</v>
      </c>
      <c r="O117" s="256" t="s">
        <v>3362</v>
      </c>
      <c r="P117" s="256" t="s">
        <v>947</v>
      </c>
      <c r="Q117" s="191" t="s">
        <v>3852</v>
      </c>
      <c r="R117" s="390" t="s">
        <v>3981</v>
      </c>
      <c r="T117" s="191">
        <v>2550</v>
      </c>
      <c r="U117" s="191">
        <v>1605</v>
      </c>
      <c r="AA117" s="236" t="s">
        <v>3548</v>
      </c>
      <c r="AB117" s="236" t="s">
        <v>3240</v>
      </c>
      <c r="AH117" s="191" t="s">
        <v>1557</v>
      </c>
      <c r="AI117" s="256" t="s">
        <v>1245</v>
      </c>
    </row>
    <row r="118" spans="1:35">
      <c r="A118" s="619"/>
      <c r="B118" s="243" t="str">
        <f t="shared" si="10"/>
        <v xml:space="preserve">VISIOSUN poziomo </v>
      </c>
      <c r="C118" s="228">
        <f t="shared" si="7"/>
        <v>337.15439999999995</v>
      </c>
      <c r="D118" s="314"/>
      <c r="E118" s="316">
        <v>2131.5959999999995</v>
      </c>
      <c r="F118" s="316"/>
      <c r="G118" s="192">
        <v>74.081532934131729</v>
      </c>
      <c r="H118" s="192"/>
      <c r="I118" s="316">
        <v>337.15439999999995</v>
      </c>
      <c r="J118" s="316"/>
      <c r="K118" s="316">
        <v>30335.806451612902</v>
      </c>
      <c r="L118" s="316"/>
      <c r="M118" s="256" t="s">
        <v>3794</v>
      </c>
      <c r="N118" s="256" t="s">
        <v>3794</v>
      </c>
      <c r="O118" s="256" t="s">
        <v>3363</v>
      </c>
      <c r="P118" s="256" t="s">
        <v>3841</v>
      </c>
      <c r="Q118" s="191" t="s">
        <v>3794</v>
      </c>
      <c r="R118" s="390" t="s">
        <v>3990</v>
      </c>
      <c r="T118" s="191">
        <v>3210</v>
      </c>
      <c r="U118" s="191">
        <v>2000</v>
      </c>
      <c r="AA118" s="236" t="s">
        <v>3549</v>
      </c>
      <c r="AB118" s="236" t="s">
        <v>3241</v>
      </c>
      <c r="AH118" s="191" t="s">
        <v>1558</v>
      </c>
      <c r="AI118" s="256" t="s">
        <v>1250</v>
      </c>
    </row>
    <row r="119" spans="1:35">
      <c r="A119" s="619"/>
      <c r="B119" s="243" t="str">
        <f t="shared" si="10"/>
        <v>Krizet - maksymalne wymiary 2130 x 1650 mm</v>
      </c>
      <c r="C119" s="228">
        <f t="shared" si="7"/>
        <v>360.67679999999996</v>
      </c>
      <c r="D119" s="314"/>
      <c r="E119" s="316">
        <v>2280.3119999999999</v>
      </c>
      <c r="F119" s="316"/>
      <c r="G119" s="192">
        <v>79.250011976047915</v>
      </c>
      <c r="H119" s="192"/>
      <c r="I119" s="316">
        <v>360.67679999999996</v>
      </c>
      <c r="J119" s="316"/>
      <c r="K119" s="316">
        <v>32452.258064516129</v>
      </c>
      <c r="L119" s="316"/>
      <c r="M119" s="256" t="s">
        <v>3810</v>
      </c>
      <c r="N119" s="256" t="s">
        <v>3811</v>
      </c>
      <c r="O119" s="256" t="s">
        <v>3812</v>
      </c>
      <c r="P119" s="256" t="s">
        <v>3813</v>
      </c>
      <c r="Q119" s="191" t="s">
        <v>3814</v>
      </c>
      <c r="R119" s="390" t="s">
        <v>3982</v>
      </c>
      <c r="T119" s="191">
        <v>2130</v>
      </c>
      <c r="U119" s="191">
        <v>1650</v>
      </c>
      <c r="AA119" s="236" t="s">
        <v>3550</v>
      </c>
      <c r="AB119" s="236" t="s">
        <v>3242</v>
      </c>
      <c r="AH119" s="191" t="s">
        <v>3850</v>
      </c>
      <c r="AI119" s="256" t="s">
        <v>3348</v>
      </c>
    </row>
    <row r="120" spans="1:35">
      <c r="A120" s="619"/>
      <c r="B120" s="243" t="str">
        <f t="shared" si="10"/>
        <v xml:space="preserve">Master (Carre) </v>
      </c>
      <c r="C120" s="228">
        <f t="shared" si="7"/>
        <v>292.20047999999997</v>
      </c>
      <c r="D120" s="314"/>
      <c r="E120" s="316">
        <v>1847.3831999999998</v>
      </c>
      <c r="F120" s="316"/>
      <c r="G120" s="192">
        <v>64.203995209580839</v>
      </c>
      <c r="H120" s="192"/>
      <c r="I120" s="316">
        <v>292.20047999999997</v>
      </c>
      <c r="J120" s="316"/>
      <c r="K120" s="316">
        <v>26291.032258064515</v>
      </c>
      <c r="L120" s="316"/>
      <c r="M120" s="256" t="s">
        <v>396</v>
      </c>
      <c r="N120" s="256" t="s">
        <v>396</v>
      </c>
      <c r="O120" s="256" t="s">
        <v>3365</v>
      </c>
      <c r="P120" s="256" t="s">
        <v>396</v>
      </c>
      <c r="Q120" s="191" t="s">
        <v>396</v>
      </c>
      <c r="R120" s="390" t="s">
        <v>396</v>
      </c>
      <c r="T120" s="191">
        <v>2700</v>
      </c>
      <c r="U120" s="191">
        <v>1605</v>
      </c>
      <c r="AA120" s="237" t="s">
        <v>3696</v>
      </c>
      <c r="AB120" s="237" t="s">
        <v>1724</v>
      </c>
      <c r="AH120" s="191" t="s">
        <v>975</v>
      </c>
      <c r="AI120" s="256" t="s">
        <v>3351</v>
      </c>
    </row>
    <row r="121" spans="1:35">
      <c r="A121" s="619"/>
      <c r="B121" s="243" t="str">
        <f t="shared" si="10"/>
        <v xml:space="preserve">Master  Ligne poziomo </v>
      </c>
      <c r="C121" s="228">
        <f t="shared" si="7"/>
        <v>292.20047999999997</v>
      </c>
      <c r="D121" s="314"/>
      <c r="E121" s="316">
        <v>1847.3831999999998</v>
      </c>
      <c r="F121" s="316"/>
      <c r="G121" s="192">
        <v>64.203995209580839</v>
      </c>
      <c r="H121" s="192"/>
      <c r="I121" s="316">
        <v>292.20047999999997</v>
      </c>
      <c r="J121" s="316"/>
      <c r="K121" s="316">
        <v>26291.032258064515</v>
      </c>
      <c r="L121" s="316"/>
      <c r="M121" s="257" t="s">
        <v>3795</v>
      </c>
      <c r="N121" s="256" t="s">
        <v>3795</v>
      </c>
      <c r="O121" s="256" t="s">
        <v>2709</v>
      </c>
      <c r="P121" s="256" t="s">
        <v>3842</v>
      </c>
      <c r="Q121" s="191" t="s">
        <v>3853</v>
      </c>
      <c r="R121" s="390" t="s">
        <v>3991</v>
      </c>
      <c r="T121" s="191">
        <v>2700</v>
      </c>
      <c r="U121" s="191">
        <v>1605</v>
      </c>
      <c r="AA121" s="236" t="s">
        <v>3551</v>
      </c>
      <c r="AB121" s="236" t="s">
        <v>3243</v>
      </c>
      <c r="AH121" s="191" t="s">
        <v>976</v>
      </c>
      <c r="AI121" s="256" t="s">
        <v>3352</v>
      </c>
    </row>
    <row r="122" spans="1:35">
      <c r="A122" s="619"/>
      <c r="B122" s="243" t="str">
        <f t="shared" si="10"/>
        <v xml:space="preserve">Master  Point </v>
      </c>
      <c r="C122" s="228">
        <f t="shared" si="7"/>
        <v>292.20047999999997</v>
      </c>
      <c r="D122" s="314"/>
      <c r="E122" s="316">
        <v>1847.3831999999998</v>
      </c>
      <c r="F122" s="316"/>
      <c r="G122" s="192">
        <v>64.203995209580839</v>
      </c>
      <c r="H122" s="192"/>
      <c r="I122" s="316">
        <v>292.20047999999997</v>
      </c>
      <c r="J122" s="316"/>
      <c r="K122" s="316">
        <v>26291.032258064515</v>
      </c>
      <c r="L122" s="316"/>
      <c r="M122" s="257" t="s">
        <v>397</v>
      </c>
      <c r="N122" s="256" t="s">
        <v>397</v>
      </c>
      <c r="O122" s="256" t="s">
        <v>3366</v>
      </c>
      <c r="P122" s="256" t="s">
        <v>397</v>
      </c>
      <c r="Q122" s="191" t="s">
        <v>982</v>
      </c>
      <c r="R122" s="390" t="s">
        <v>982</v>
      </c>
      <c r="T122" s="191">
        <v>2700</v>
      </c>
      <c r="U122" s="191">
        <v>1605</v>
      </c>
      <c r="AA122" s="236" t="s">
        <v>3552</v>
      </c>
      <c r="AB122" s="236" t="s">
        <v>3244</v>
      </c>
      <c r="AH122" s="191" t="s">
        <v>977</v>
      </c>
      <c r="AI122" s="256" t="s">
        <v>3355</v>
      </c>
    </row>
    <row r="123" spans="1:35">
      <c r="A123" s="619"/>
      <c r="B123" s="243" t="str">
        <f t="shared" si="10"/>
        <v xml:space="preserve">FLUTES poziomo </v>
      </c>
      <c r="C123" s="228">
        <f t="shared" si="7"/>
        <v>450.846</v>
      </c>
      <c r="D123" s="314"/>
      <c r="E123" s="316">
        <v>2850.3900000000003</v>
      </c>
      <c r="F123" s="316"/>
      <c r="G123" s="192">
        <v>99.062514970059908</v>
      </c>
      <c r="H123" s="192"/>
      <c r="I123" s="316">
        <v>450.846</v>
      </c>
      <c r="J123" s="316"/>
      <c r="K123" s="316">
        <v>40565.322580645166</v>
      </c>
      <c r="L123" s="316"/>
      <c r="M123" s="257" t="s">
        <v>3796</v>
      </c>
      <c r="N123" s="256" t="s">
        <v>3796</v>
      </c>
      <c r="O123" s="256" t="s">
        <v>3367</v>
      </c>
      <c r="P123" s="256" t="s">
        <v>3843</v>
      </c>
      <c r="Q123" s="191" t="s">
        <v>3796</v>
      </c>
      <c r="R123" s="390" t="s">
        <v>3992</v>
      </c>
      <c r="T123" s="191">
        <v>2540</v>
      </c>
      <c r="U123" s="191">
        <v>1610</v>
      </c>
      <c r="AA123" s="236" t="s">
        <v>3553</v>
      </c>
      <c r="AB123" s="236" t="s">
        <v>3245</v>
      </c>
      <c r="AH123" s="191" t="s">
        <v>3851</v>
      </c>
      <c r="AI123" s="256" t="s">
        <v>3356</v>
      </c>
    </row>
    <row r="124" spans="1:35">
      <c r="A124" s="619"/>
      <c r="B124" s="240"/>
      <c r="C124" s="314"/>
      <c r="D124" s="192"/>
      <c r="E124" s="316"/>
      <c r="F124" s="316"/>
      <c r="G124" s="192"/>
      <c r="H124" s="192"/>
      <c r="I124" s="316"/>
      <c r="J124" s="316"/>
      <c r="K124" s="316"/>
      <c r="L124" s="316"/>
      <c r="M124" s="257"/>
      <c r="N124" s="256"/>
      <c r="O124" s="256"/>
      <c r="P124" s="256"/>
      <c r="AA124" s="236" t="s">
        <v>3593</v>
      </c>
      <c r="AB124" s="236" t="s">
        <v>557</v>
      </c>
      <c r="AH124" s="191" t="s">
        <v>978</v>
      </c>
      <c r="AI124" s="256" t="s">
        <v>3358</v>
      </c>
    </row>
    <row r="125" spans="1:35">
      <c r="A125" s="619"/>
      <c r="B125" s="243" t="str">
        <f t="shared" si="10"/>
        <v xml:space="preserve">Master  Ligne pionowo </v>
      </c>
      <c r="C125" s="228">
        <f t="shared" si="7"/>
        <v>292.20047999999997</v>
      </c>
      <c r="D125" s="192"/>
      <c r="E125" s="316">
        <v>1847.3831999999998</v>
      </c>
      <c r="F125" s="316"/>
      <c r="G125" s="192">
        <v>64.203995209580839</v>
      </c>
      <c r="H125" s="192"/>
      <c r="I125" s="316">
        <v>292.20047999999997</v>
      </c>
      <c r="J125" s="316"/>
      <c r="K125" s="316">
        <v>26291.032258064515</v>
      </c>
      <c r="L125" s="316"/>
      <c r="M125" s="257" t="s">
        <v>3797</v>
      </c>
      <c r="N125" s="256" t="s">
        <v>3764</v>
      </c>
      <c r="O125" s="256" t="s">
        <v>3369</v>
      </c>
      <c r="P125" s="256" t="s">
        <v>3844</v>
      </c>
      <c r="Q125" s="191" t="s">
        <v>3854</v>
      </c>
      <c r="R125" s="390" t="s">
        <v>3993</v>
      </c>
      <c r="T125" s="191">
        <v>2700</v>
      </c>
      <c r="U125" s="191">
        <v>1605</v>
      </c>
      <c r="AA125" s="236" t="s">
        <v>3597</v>
      </c>
      <c r="AB125" s="236" t="s">
        <v>3246</v>
      </c>
      <c r="AH125" s="191" t="s">
        <v>979</v>
      </c>
      <c r="AI125" s="256" t="s">
        <v>3359</v>
      </c>
    </row>
    <row r="126" spans="1:35">
      <c r="A126" s="619"/>
      <c r="B126" s="243" t="str">
        <f t="shared" si="10"/>
        <v xml:space="preserve">Lacobel RAL 1013 </v>
      </c>
      <c r="C126" s="228">
        <f t="shared" si="7"/>
        <v>376.35839999999996</v>
      </c>
      <c r="D126" s="192"/>
      <c r="E126" s="316">
        <v>2379.4559999999997</v>
      </c>
      <c r="F126" s="316"/>
      <c r="G126" s="192">
        <v>82.695664670658687</v>
      </c>
      <c r="H126" s="192"/>
      <c r="I126" s="316">
        <v>376.35839999999996</v>
      </c>
      <c r="J126" s="316"/>
      <c r="K126" s="316">
        <v>33863.225806451606</v>
      </c>
      <c r="L126" s="316"/>
      <c r="M126" s="257" t="s">
        <v>35</v>
      </c>
      <c r="N126" s="257" t="s">
        <v>35</v>
      </c>
      <c r="O126" s="256" t="s">
        <v>3370</v>
      </c>
      <c r="P126" s="257" t="s">
        <v>35</v>
      </c>
      <c r="Q126" s="191" t="s">
        <v>35</v>
      </c>
      <c r="R126" s="390" t="s">
        <v>35</v>
      </c>
      <c r="T126" s="191">
        <v>2550</v>
      </c>
      <c r="U126" s="191">
        <v>1605</v>
      </c>
      <c r="AA126" s="236" t="s">
        <v>3601</v>
      </c>
      <c r="AB126" s="236" t="s">
        <v>3247</v>
      </c>
      <c r="AH126" s="191" t="s">
        <v>980</v>
      </c>
      <c r="AI126" s="256" t="s">
        <v>3360</v>
      </c>
    </row>
    <row r="127" spans="1:35">
      <c r="A127" s="619"/>
      <c r="B127" s="243" t="str">
        <f t="shared" si="10"/>
        <v xml:space="preserve">Lacobel RAL 1015 </v>
      </c>
      <c r="C127" s="228">
        <f t="shared" si="7"/>
        <v>313.63200000000001</v>
      </c>
      <c r="D127" s="192"/>
      <c r="E127" s="316">
        <v>1982.8799999999997</v>
      </c>
      <c r="F127" s="316"/>
      <c r="G127" s="192">
        <v>68.913053892215572</v>
      </c>
      <c r="H127" s="192"/>
      <c r="I127" s="316">
        <v>313.63200000000001</v>
      </c>
      <c r="J127" s="316"/>
      <c r="K127" s="316">
        <v>28219.354838709674</v>
      </c>
      <c r="L127" s="316"/>
      <c r="M127" s="257" t="s">
        <v>29</v>
      </c>
      <c r="N127" s="257" t="s">
        <v>29</v>
      </c>
      <c r="O127" s="256" t="s">
        <v>3371</v>
      </c>
      <c r="P127" s="257" t="s">
        <v>29</v>
      </c>
      <c r="Q127" s="191" t="s">
        <v>29</v>
      </c>
      <c r="R127" s="390" t="s">
        <v>29</v>
      </c>
      <c r="T127" s="191">
        <v>2550</v>
      </c>
      <c r="U127" s="191">
        <v>1605</v>
      </c>
      <c r="AA127" s="236" t="s">
        <v>3554</v>
      </c>
      <c r="AB127" s="236" t="s">
        <v>3248</v>
      </c>
      <c r="AH127" s="191" t="s">
        <v>981</v>
      </c>
      <c r="AI127" s="256" t="s">
        <v>3361</v>
      </c>
    </row>
    <row r="128" spans="1:35">
      <c r="A128" s="619"/>
      <c r="B128" s="243" t="str">
        <f t="shared" si="10"/>
        <v xml:space="preserve">FLUTES pionowo </v>
      </c>
      <c r="C128" s="228">
        <f t="shared" si="7"/>
        <v>450.846</v>
      </c>
      <c r="D128" s="192"/>
      <c r="E128" s="316">
        <v>2850.3900000000003</v>
      </c>
      <c r="F128" s="316"/>
      <c r="G128" s="192">
        <v>99.062514970059908</v>
      </c>
      <c r="H128" s="192"/>
      <c r="I128" s="316">
        <v>450.846</v>
      </c>
      <c r="J128" s="316"/>
      <c r="K128" s="316">
        <v>40565.322580645166</v>
      </c>
      <c r="L128" s="316"/>
      <c r="M128" s="257" t="s">
        <v>3798</v>
      </c>
      <c r="N128" s="256" t="s">
        <v>3826</v>
      </c>
      <c r="O128" s="256" t="s">
        <v>3372</v>
      </c>
      <c r="P128" s="256" t="s">
        <v>3845</v>
      </c>
      <c r="Q128" s="191" t="s">
        <v>3855</v>
      </c>
      <c r="R128" s="390" t="s">
        <v>3855</v>
      </c>
      <c r="T128" s="191">
        <v>2550</v>
      </c>
      <c r="U128" s="191">
        <v>1605</v>
      </c>
      <c r="AA128" s="236" t="s">
        <v>3555</v>
      </c>
      <c r="AB128" s="236" t="s">
        <v>3249</v>
      </c>
      <c r="AH128" s="191" t="s">
        <v>3852</v>
      </c>
      <c r="AI128" s="256" t="s">
        <v>3362</v>
      </c>
    </row>
    <row r="129" spans="1:35">
      <c r="A129" s="619"/>
      <c r="B129" s="243" t="str">
        <f t="shared" si="10"/>
        <v xml:space="preserve">VISIOSUN pionowo </v>
      </c>
      <c r="C129" s="228">
        <f t="shared" si="7"/>
        <v>337.15439999999995</v>
      </c>
      <c r="D129" s="192"/>
      <c r="E129" s="316">
        <v>2131.5959999999995</v>
      </c>
      <c r="F129" s="316"/>
      <c r="G129" s="192">
        <v>74.081532934131729</v>
      </c>
      <c r="H129" s="192"/>
      <c r="I129" s="316">
        <v>337.15439999999995</v>
      </c>
      <c r="J129" s="316"/>
      <c r="K129" s="316">
        <v>30335.806451612902</v>
      </c>
      <c r="L129" s="316"/>
      <c r="M129" s="256" t="s">
        <v>3762</v>
      </c>
      <c r="N129" s="256" t="s">
        <v>3827</v>
      </c>
      <c r="O129" s="256" t="s">
        <v>3373</v>
      </c>
      <c r="P129" s="256" t="s">
        <v>3846</v>
      </c>
      <c r="Q129" s="191" t="s">
        <v>3856</v>
      </c>
      <c r="R129" s="390" t="s">
        <v>3856</v>
      </c>
      <c r="T129" s="191">
        <v>3210</v>
      </c>
      <c r="U129" s="191">
        <v>2000</v>
      </c>
      <c r="AA129" s="236" t="s">
        <v>3556</v>
      </c>
      <c r="AB129" s="236" t="s">
        <v>3250</v>
      </c>
      <c r="AH129" s="191" t="s">
        <v>3853</v>
      </c>
      <c r="AI129" s="256" t="s">
        <v>2709</v>
      </c>
    </row>
    <row r="130" spans="1:35">
      <c r="A130" s="619"/>
      <c r="B130" s="243" t="str">
        <f t="shared" si="10"/>
        <v xml:space="preserve">VISIOSUN satyna pionowo </v>
      </c>
      <c r="C130" s="228">
        <f t="shared" si="7"/>
        <v>504.42750000000001</v>
      </c>
      <c r="D130" s="192"/>
      <c r="E130" s="316">
        <v>3098.25</v>
      </c>
      <c r="F130" s="316"/>
      <c r="G130" s="192">
        <v>107.67664670658684</v>
      </c>
      <c r="H130" s="314"/>
      <c r="I130" s="316">
        <v>504.42750000000001</v>
      </c>
      <c r="J130" s="316"/>
      <c r="K130" s="316">
        <v>44092.741935483871</v>
      </c>
      <c r="L130" s="316"/>
      <c r="M130" s="256" t="s">
        <v>3763</v>
      </c>
      <c r="N130" s="256" t="s">
        <v>3860</v>
      </c>
      <c r="O130" s="256" t="s">
        <v>3769</v>
      </c>
      <c r="P130" s="256" t="s">
        <v>3861</v>
      </c>
      <c r="Q130" s="191" t="s">
        <v>3862</v>
      </c>
      <c r="R130" s="390" t="s">
        <v>3994</v>
      </c>
      <c r="T130" s="191">
        <v>2000</v>
      </c>
      <c r="U130" s="191">
        <v>1605</v>
      </c>
      <c r="AA130" s="236" t="s">
        <v>3557</v>
      </c>
      <c r="AB130" s="236" t="s">
        <v>3251</v>
      </c>
      <c r="AH130" s="191" t="s">
        <v>982</v>
      </c>
      <c r="AI130" s="256" t="s">
        <v>3366</v>
      </c>
    </row>
    <row r="131" spans="1:35">
      <c r="A131" s="619"/>
      <c r="B131" s="243" t="str">
        <f t="shared" si="10"/>
        <v xml:space="preserve">VISIOSUN satyna poziomo </v>
      </c>
      <c r="C131" s="228">
        <f t="shared" si="7"/>
        <v>504.42750000000001</v>
      </c>
      <c r="D131" s="192"/>
      <c r="E131" s="316">
        <v>3098.25</v>
      </c>
      <c r="F131" s="316"/>
      <c r="G131" s="192">
        <v>107.67664670658684</v>
      </c>
      <c r="H131" s="314"/>
      <c r="I131" s="316">
        <v>504.42750000000001</v>
      </c>
      <c r="J131" s="316"/>
      <c r="K131" s="316">
        <v>44092.741935483871</v>
      </c>
      <c r="L131" s="316"/>
      <c r="M131" s="256" t="s">
        <v>3863</v>
      </c>
      <c r="N131" s="256" t="s">
        <v>3863</v>
      </c>
      <c r="O131" s="256" t="s">
        <v>3770</v>
      </c>
      <c r="P131" s="256" t="s">
        <v>3864</v>
      </c>
      <c r="Q131" s="191" t="s">
        <v>3865</v>
      </c>
      <c r="R131" s="390" t="s">
        <v>3995</v>
      </c>
      <c r="T131" s="191">
        <v>2000</v>
      </c>
      <c r="U131" s="191">
        <v>1605</v>
      </c>
      <c r="AA131" s="237" t="s">
        <v>3605</v>
      </c>
      <c r="AB131" s="237" t="s">
        <v>3252</v>
      </c>
      <c r="AH131" s="191" t="s">
        <v>3854</v>
      </c>
      <c r="AI131" s="256" t="s">
        <v>3369</v>
      </c>
    </row>
    <row r="132" spans="1:35">
      <c r="A132" s="619"/>
      <c r="B132" s="240"/>
      <c r="C132" s="314"/>
      <c r="D132" s="192"/>
      <c r="E132" s="316" t="e">
        <v>#N/A</v>
      </c>
      <c r="G132" s="192" t="e">
        <v>#N/A</v>
      </c>
      <c r="I132" s="316"/>
      <c r="K132" s="316" t="e">
        <v>#N/A</v>
      </c>
      <c r="M132" s="257"/>
      <c r="N132" s="257"/>
      <c r="O132" s="256"/>
      <c r="P132" s="257"/>
      <c r="R132" s="390"/>
      <c r="T132" s="191">
        <v>2550</v>
      </c>
      <c r="U132" s="191">
        <v>1605</v>
      </c>
      <c r="AA132" s="236" t="s">
        <v>3558</v>
      </c>
      <c r="AB132" s="236" t="s">
        <v>3253</v>
      </c>
      <c r="AH132" s="191" t="s">
        <v>3855</v>
      </c>
      <c r="AI132" s="256" t="s">
        <v>3372</v>
      </c>
    </row>
    <row r="133" spans="1:35">
      <c r="A133" s="619"/>
      <c r="B133" s="243" t="str">
        <f t="shared" si="10"/>
        <v xml:space="preserve">Lacobel RAL 7035 </v>
      </c>
      <c r="C133" s="228">
        <f t="shared" si="7"/>
        <v>313.63200000000001</v>
      </c>
      <c r="D133" s="192"/>
      <c r="E133" s="316">
        <v>1982.8799999999997</v>
      </c>
      <c r="F133" s="316"/>
      <c r="G133" s="192">
        <v>68.913053892215572</v>
      </c>
      <c r="I133" s="316">
        <v>313.63200000000001</v>
      </c>
      <c r="J133" s="316"/>
      <c r="K133" s="316">
        <v>28219.354838709674</v>
      </c>
      <c r="L133" s="316"/>
      <c r="M133" s="257" t="s">
        <v>32</v>
      </c>
      <c r="N133" s="257" t="s">
        <v>32</v>
      </c>
      <c r="O133" s="256" t="s">
        <v>3374</v>
      </c>
      <c r="P133" s="257" t="s">
        <v>32</v>
      </c>
      <c r="Q133" s="191" t="s">
        <v>32</v>
      </c>
      <c r="R133" s="390" t="s">
        <v>32</v>
      </c>
      <c r="T133" s="191">
        <v>2550</v>
      </c>
      <c r="U133" s="191">
        <v>1605</v>
      </c>
      <c r="AA133" s="236" t="s">
        <v>3559</v>
      </c>
      <c r="AB133" s="236" t="s">
        <v>3254</v>
      </c>
      <c r="AH133" s="191" t="s">
        <v>3856</v>
      </c>
      <c r="AI133" s="256" t="s">
        <v>3373</v>
      </c>
    </row>
    <row r="134" spans="1:35">
      <c r="A134" s="619"/>
      <c r="B134" s="240"/>
      <c r="C134" s="314"/>
      <c r="D134" s="192"/>
      <c r="E134" s="316" t="e">
        <v>#N/A</v>
      </c>
      <c r="G134" s="192" t="e">
        <v>#N/A</v>
      </c>
      <c r="I134" s="316" t="e">
        <v>#N/A</v>
      </c>
      <c r="K134" s="316" t="e">
        <v>#N/A</v>
      </c>
      <c r="M134" s="257"/>
      <c r="N134" s="257"/>
      <c r="O134" s="256"/>
      <c r="P134" s="257"/>
      <c r="R134" s="390"/>
      <c r="T134" s="191">
        <v>2550</v>
      </c>
      <c r="U134" s="191">
        <v>1605</v>
      </c>
      <c r="AA134" s="236" t="s">
        <v>3562</v>
      </c>
      <c r="AB134" s="236" t="s">
        <v>3255</v>
      </c>
      <c r="AH134" s="191" t="s">
        <v>3857</v>
      </c>
      <c r="AI134" s="256" t="s">
        <v>3380</v>
      </c>
    </row>
    <row r="135" spans="1:35">
      <c r="A135" s="619"/>
      <c r="B135" s="243" t="str">
        <f t="shared" si="10"/>
        <v xml:space="preserve">Lacobel RAL 9003 </v>
      </c>
      <c r="C135" s="228">
        <f t="shared" si="7"/>
        <v>376.35839999999996</v>
      </c>
      <c r="D135" s="192"/>
      <c r="E135" s="316">
        <v>2379.4559999999997</v>
      </c>
      <c r="F135" s="316"/>
      <c r="G135" s="192">
        <v>82.695664670658687</v>
      </c>
      <c r="H135" s="192"/>
      <c r="I135" s="316">
        <v>376.35839999999996</v>
      </c>
      <c r="J135" s="316"/>
      <c r="K135" s="316">
        <v>33863.225806451606</v>
      </c>
      <c r="L135" s="316"/>
      <c r="M135" s="257" t="s">
        <v>36</v>
      </c>
      <c r="N135" s="257" t="s">
        <v>36</v>
      </c>
      <c r="O135" s="256" t="s">
        <v>3375</v>
      </c>
      <c r="P135" s="257" t="s">
        <v>36</v>
      </c>
      <c r="Q135" s="191" t="s">
        <v>36</v>
      </c>
      <c r="R135" s="390" t="s">
        <v>3983</v>
      </c>
      <c r="T135" s="191">
        <v>2550</v>
      </c>
      <c r="U135" s="191">
        <v>1605</v>
      </c>
      <c r="AA135" s="236" t="s">
        <v>3609</v>
      </c>
      <c r="AB135" s="236" t="s">
        <v>3256</v>
      </c>
      <c r="AH135" s="191" t="s">
        <v>3858</v>
      </c>
      <c r="AI135" s="256" t="s">
        <v>3381</v>
      </c>
    </row>
    <row r="136" spans="1:35">
      <c r="A136" s="619"/>
      <c r="B136" s="243" t="str">
        <f t="shared" si="10"/>
        <v xml:space="preserve">Lacobel RAL 9005 </v>
      </c>
      <c r="C136" s="228">
        <f t="shared" si="7"/>
        <v>285.40511999999995</v>
      </c>
      <c r="D136" s="192"/>
      <c r="E136" s="316">
        <v>1804.4207999999999</v>
      </c>
      <c r="F136" s="316"/>
      <c r="G136" s="192">
        <v>62.710879041916165</v>
      </c>
      <c r="H136" s="314"/>
      <c r="I136" s="316">
        <v>285.40511999999995</v>
      </c>
      <c r="J136" s="316"/>
      <c r="K136" s="316">
        <v>25679.612903225803</v>
      </c>
      <c r="L136" s="316"/>
      <c r="M136" s="257" t="s">
        <v>38</v>
      </c>
      <c r="N136" s="257" t="s">
        <v>38</v>
      </c>
      <c r="O136" s="256" t="s">
        <v>3376</v>
      </c>
      <c r="P136" s="257" t="s">
        <v>38</v>
      </c>
      <c r="Q136" s="191" t="s">
        <v>38</v>
      </c>
      <c r="R136" s="390" t="s">
        <v>38</v>
      </c>
      <c r="T136" s="191">
        <v>2550</v>
      </c>
      <c r="U136" s="191">
        <v>1605</v>
      </c>
      <c r="AA136" s="237" t="s">
        <v>3613</v>
      </c>
      <c r="AB136" s="237" t="s">
        <v>3257</v>
      </c>
      <c r="AH136" s="191" t="s">
        <v>3773</v>
      </c>
      <c r="AI136" s="256" t="s">
        <v>3382</v>
      </c>
    </row>
    <row r="137" spans="1:35">
      <c r="A137" s="619"/>
      <c r="B137" s="243" t="str">
        <f t="shared" si="10"/>
        <v xml:space="preserve">Lacobel RAL 9006 </v>
      </c>
      <c r="C137" s="228">
        <f t="shared" si="7"/>
        <v>376.35839999999996</v>
      </c>
      <c r="D137" s="192"/>
      <c r="E137" s="316">
        <v>2379.4559999999997</v>
      </c>
      <c r="F137" s="316"/>
      <c r="G137" s="192">
        <v>82.695664670658687</v>
      </c>
      <c r="H137" s="314"/>
      <c r="I137" s="316">
        <v>376.35839999999996</v>
      </c>
      <c r="J137" s="316"/>
      <c r="K137" s="316">
        <v>33863.225806451606</v>
      </c>
      <c r="L137" s="316"/>
      <c r="M137" s="257" t="s">
        <v>37</v>
      </c>
      <c r="N137" s="257" t="s">
        <v>37</v>
      </c>
      <c r="O137" s="256" t="s">
        <v>3377</v>
      </c>
      <c r="P137" s="257" t="s">
        <v>37</v>
      </c>
      <c r="Q137" s="191" t="s">
        <v>37</v>
      </c>
      <c r="R137" s="390" t="s">
        <v>37</v>
      </c>
      <c r="T137" s="191">
        <v>2550</v>
      </c>
      <c r="U137" s="191">
        <v>1605</v>
      </c>
      <c r="AA137" s="236" t="s">
        <v>3565</v>
      </c>
      <c r="AB137" s="236" t="s">
        <v>3258</v>
      </c>
      <c r="AH137" s="191" t="s">
        <v>3774</v>
      </c>
      <c r="AI137" s="256" t="s">
        <v>3383</v>
      </c>
    </row>
    <row r="138" spans="1:35">
      <c r="A138" s="619"/>
      <c r="B138" s="243" t="str">
        <f t="shared" si="10"/>
        <v xml:space="preserve">Lacobel RAL 9007 </v>
      </c>
      <c r="C138" s="228">
        <f t="shared" si="7"/>
        <v>376.35839999999996</v>
      </c>
      <c r="D138" s="192"/>
      <c r="E138" s="316">
        <v>2379.4559999999997</v>
      </c>
      <c r="F138" s="316"/>
      <c r="G138" s="192">
        <v>82.695664670658687</v>
      </c>
      <c r="H138" s="314"/>
      <c r="I138" s="316">
        <v>376.35839999999996</v>
      </c>
      <c r="J138" s="316"/>
      <c r="K138" s="316">
        <v>33863.225806451606</v>
      </c>
      <c r="L138" s="316"/>
      <c r="M138" s="257" t="s">
        <v>559</v>
      </c>
      <c r="N138" s="257" t="s">
        <v>559</v>
      </c>
      <c r="O138" s="256" t="s">
        <v>3378</v>
      </c>
      <c r="P138" s="257" t="s">
        <v>559</v>
      </c>
      <c r="Q138" s="191" t="s">
        <v>559</v>
      </c>
      <c r="R138" s="390" t="s">
        <v>559</v>
      </c>
      <c r="T138" s="191">
        <v>2550</v>
      </c>
      <c r="U138" s="191">
        <v>1605</v>
      </c>
      <c r="AA138" s="236" t="s">
        <v>3566</v>
      </c>
      <c r="AB138" s="236" t="s">
        <v>3259</v>
      </c>
      <c r="AH138" s="191" t="s">
        <v>983</v>
      </c>
      <c r="AI138" s="256" t="s">
        <v>3386</v>
      </c>
    </row>
    <row r="139" spans="1:35">
      <c r="A139" s="619"/>
      <c r="B139" s="243" t="str">
        <f t="shared" si="10"/>
        <v xml:space="preserve">Lacobel RAL 9010 </v>
      </c>
      <c r="C139" s="228">
        <f t="shared" si="7"/>
        <v>285.40511999999995</v>
      </c>
      <c r="D139" s="192"/>
      <c r="E139" s="316">
        <v>1804.4207999999999</v>
      </c>
      <c r="F139" s="316"/>
      <c r="G139" s="192">
        <v>62.710879041916165</v>
      </c>
      <c r="H139" s="314"/>
      <c r="I139" s="316">
        <v>285.40511999999995</v>
      </c>
      <c r="J139" s="316"/>
      <c r="K139" s="316">
        <v>25679.612903225803</v>
      </c>
      <c r="L139" s="316"/>
      <c r="M139" s="257" t="s">
        <v>30</v>
      </c>
      <c r="N139" s="257" t="s">
        <v>30</v>
      </c>
      <c r="O139" s="256" t="s">
        <v>3379</v>
      </c>
      <c r="P139" s="257" t="s">
        <v>30</v>
      </c>
      <c r="Q139" s="191" t="s">
        <v>30</v>
      </c>
      <c r="R139" s="390" t="s">
        <v>30</v>
      </c>
      <c r="T139" s="191">
        <v>2550</v>
      </c>
      <c r="U139" s="191">
        <v>1605</v>
      </c>
      <c r="AA139" s="236" t="s">
        <v>3567</v>
      </c>
      <c r="AB139" s="236" t="s">
        <v>3260</v>
      </c>
      <c r="AH139" s="191" t="s">
        <v>984</v>
      </c>
      <c r="AI139" s="256" t="s">
        <v>3388</v>
      </c>
    </row>
    <row r="140" spans="1:35">
      <c r="A140" s="619"/>
      <c r="B140" s="243" t="str">
        <f t="shared" si="10"/>
        <v xml:space="preserve">Moru brąz pionowo </v>
      </c>
      <c r="C140" s="228">
        <f t="shared" si="7"/>
        <v>490.05</v>
      </c>
      <c r="D140" s="192"/>
      <c r="E140" s="316">
        <v>3098.25</v>
      </c>
      <c r="F140" s="316"/>
      <c r="G140" s="192">
        <v>107.67664670658684</v>
      </c>
      <c r="H140" s="314"/>
      <c r="I140" s="316">
        <v>490.05</v>
      </c>
      <c r="J140" s="316"/>
      <c r="K140" s="316">
        <v>44092.741935483871</v>
      </c>
      <c r="L140" s="316"/>
      <c r="M140" s="257" t="s">
        <v>3799</v>
      </c>
      <c r="N140" s="257" t="s">
        <v>3828</v>
      </c>
      <c r="O140" s="256" t="s">
        <v>3380</v>
      </c>
      <c r="P140" s="257" t="s">
        <v>3847</v>
      </c>
      <c r="Q140" s="191" t="s">
        <v>3857</v>
      </c>
      <c r="R140" s="390" t="s">
        <v>3996</v>
      </c>
      <c r="T140" s="191">
        <v>2440</v>
      </c>
      <c r="U140" s="191">
        <v>2100</v>
      </c>
      <c r="AA140" s="236" t="s">
        <v>3568</v>
      </c>
      <c r="AB140" s="236" t="s">
        <v>3261</v>
      </c>
      <c r="AH140" s="191" t="s">
        <v>3859</v>
      </c>
      <c r="AI140" s="256" t="s">
        <v>3389</v>
      </c>
    </row>
    <row r="141" spans="1:35">
      <c r="A141" s="619"/>
      <c r="B141" s="243" t="str">
        <f t="shared" si="10"/>
        <v xml:space="preserve">Moru grafit pionowo </v>
      </c>
      <c r="C141" s="228">
        <f t="shared" si="7"/>
        <v>490.05</v>
      </c>
      <c r="D141" s="192"/>
      <c r="E141" s="316">
        <v>3098.25</v>
      </c>
      <c r="F141" s="316"/>
      <c r="G141" s="192">
        <v>107.67664670658684</v>
      </c>
      <c r="H141" s="314"/>
      <c r="I141" s="316">
        <v>490.05</v>
      </c>
      <c r="J141" s="316"/>
      <c r="K141" s="316">
        <v>44092.741935483871</v>
      </c>
      <c r="L141" s="316"/>
      <c r="M141" s="257" t="s">
        <v>3800</v>
      </c>
      <c r="N141" s="257" t="s">
        <v>3829</v>
      </c>
      <c r="O141" s="256" t="s">
        <v>3381</v>
      </c>
      <c r="P141" s="257" t="s">
        <v>3771</v>
      </c>
      <c r="Q141" s="191" t="s">
        <v>3772</v>
      </c>
      <c r="R141" s="390" t="s">
        <v>3858</v>
      </c>
      <c r="T141" s="191">
        <v>2440</v>
      </c>
      <c r="U141" s="191">
        <v>2100</v>
      </c>
      <c r="AA141" s="236" t="s">
        <v>3569</v>
      </c>
      <c r="AB141" s="236" t="s">
        <v>3262</v>
      </c>
      <c r="AH141" s="256" t="s">
        <v>3763</v>
      </c>
      <c r="AI141" s="191" t="s">
        <v>3722</v>
      </c>
    </row>
    <row r="142" spans="1:35">
      <c r="A142" s="619"/>
      <c r="B142" s="240"/>
      <c r="C142" s="314"/>
      <c r="D142" s="192"/>
      <c r="E142" s="316"/>
      <c r="G142" s="192"/>
      <c r="I142" s="316"/>
      <c r="K142" s="316"/>
      <c r="M142" s="257" t="s">
        <v>33</v>
      </c>
      <c r="N142" s="257" t="s">
        <v>33</v>
      </c>
      <c r="O142" s="256" t="s">
        <v>33</v>
      </c>
      <c r="P142" s="257" t="s">
        <v>33</v>
      </c>
      <c r="Q142" s="191" t="s">
        <v>33</v>
      </c>
      <c r="R142" s="390" t="s">
        <v>33</v>
      </c>
      <c r="AA142" s="236" t="s">
        <v>3570</v>
      </c>
      <c r="AB142" s="236" t="s">
        <v>3263</v>
      </c>
      <c r="AH142" s="256" t="s">
        <v>3860</v>
      </c>
      <c r="AI142" s="191" t="s">
        <v>3722</v>
      </c>
    </row>
    <row r="143" spans="1:35">
      <c r="A143" s="619"/>
      <c r="B143" s="240"/>
      <c r="C143" s="314"/>
      <c r="D143" s="192"/>
      <c r="E143" s="316"/>
      <c r="G143" s="192"/>
      <c r="I143" s="316"/>
      <c r="K143" s="316"/>
      <c r="M143" s="257" t="s">
        <v>34</v>
      </c>
      <c r="N143" s="257" t="s">
        <v>34</v>
      </c>
      <c r="O143" s="256" t="s">
        <v>34</v>
      </c>
      <c r="P143" s="257" t="s">
        <v>34</v>
      </c>
      <c r="Q143" s="191" t="s">
        <v>34</v>
      </c>
      <c r="R143" s="390" t="s">
        <v>34</v>
      </c>
      <c r="AA143" s="236" t="s">
        <v>3571</v>
      </c>
      <c r="AB143" s="236" t="s">
        <v>3264</v>
      </c>
      <c r="AH143" s="256" t="s">
        <v>3722</v>
      </c>
      <c r="AI143" s="191" t="s">
        <v>3722</v>
      </c>
    </row>
    <row r="144" spans="1:35">
      <c r="A144" s="619"/>
      <c r="B144" s="243" t="str">
        <f t="shared" ref="B144:B145" si="11">IF($D$1=1,M144,
IF($D$1=2,N144,
IF($D$1=3,O144,
IF($D$1=4,P144,
IF($D$1=5,Q144,
IF($D$1=6,R144,0))))))</f>
        <v xml:space="preserve">Moru brąz poziomo </v>
      </c>
      <c r="C144" s="228">
        <f t="shared" ref="C144:C145" si="12">IF($D$1=1,E144,IF(OR($D$1=2,$D$1=5),G144,IF($D$1=3,I144,IF($D$1=4,K144,IF($D$1=6,G144*1.3,0)))))</f>
        <v>490.05</v>
      </c>
      <c r="D144" s="192"/>
      <c r="E144" s="316">
        <v>3098.25</v>
      </c>
      <c r="F144" s="316"/>
      <c r="G144" s="192">
        <v>107.67664670658684</v>
      </c>
      <c r="H144" s="314"/>
      <c r="I144" s="316">
        <v>490.05</v>
      </c>
      <c r="J144" s="316"/>
      <c r="K144" s="316">
        <v>44092.741935483871</v>
      </c>
      <c r="L144" s="316"/>
      <c r="M144" s="257" t="s">
        <v>3801</v>
      </c>
      <c r="N144" s="257" t="s">
        <v>3765</v>
      </c>
      <c r="O144" s="256" t="s">
        <v>3382</v>
      </c>
      <c r="P144" s="257" t="s">
        <v>3848</v>
      </c>
      <c r="Q144" s="191" t="s">
        <v>3773</v>
      </c>
      <c r="R144" s="390" t="s">
        <v>3997</v>
      </c>
      <c r="T144" s="191">
        <v>2440</v>
      </c>
      <c r="U144" s="191">
        <v>2100</v>
      </c>
      <c r="AA144" s="236" t="s">
        <v>3572</v>
      </c>
      <c r="AB144" s="236" t="s">
        <v>3265</v>
      </c>
      <c r="AH144" s="256" t="s">
        <v>3861</v>
      </c>
      <c r="AI144" s="191" t="s">
        <v>3722</v>
      </c>
    </row>
    <row r="145" spans="1:35">
      <c r="A145" s="619"/>
      <c r="B145" s="243" t="str">
        <f t="shared" si="11"/>
        <v xml:space="preserve">Moru grafit poziomo </v>
      </c>
      <c r="C145" s="228">
        <f t="shared" si="12"/>
        <v>490.05</v>
      </c>
      <c r="D145" s="192"/>
      <c r="E145" s="316">
        <v>3098.25</v>
      </c>
      <c r="F145" s="316"/>
      <c r="G145" s="192">
        <v>107.67664670658684</v>
      </c>
      <c r="H145" s="314"/>
      <c r="I145" s="316">
        <v>490.05</v>
      </c>
      <c r="J145" s="316"/>
      <c r="K145" s="316">
        <v>44092.741935483871</v>
      </c>
      <c r="L145" s="316"/>
      <c r="M145" s="257" t="s">
        <v>3802</v>
      </c>
      <c r="N145" s="257" t="s">
        <v>3766</v>
      </c>
      <c r="O145" s="256" t="s">
        <v>3383</v>
      </c>
      <c r="P145" s="257" t="s">
        <v>3849</v>
      </c>
      <c r="Q145" s="191" t="s">
        <v>3774</v>
      </c>
      <c r="R145" s="390" t="s">
        <v>3774</v>
      </c>
      <c r="T145" s="191">
        <v>2440</v>
      </c>
      <c r="U145" s="191">
        <v>2100</v>
      </c>
      <c r="AA145" s="236" t="s">
        <v>3573</v>
      </c>
      <c r="AB145" s="236" t="s">
        <v>3266</v>
      </c>
      <c r="AH145" s="191" t="s">
        <v>3862</v>
      </c>
      <c r="AI145" s="191" t="s">
        <v>3722</v>
      </c>
    </row>
    <row r="146" spans="1:35">
      <c r="A146" s="619"/>
      <c r="B146" s="240"/>
      <c r="C146" s="314"/>
      <c r="D146" s="192"/>
      <c r="E146" s="316" t="e">
        <v>#N/A</v>
      </c>
      <c r="G146" s="192" t="e">
        <v>#N/A</v>
      </c>
      <c r="I146" s="316" t="e">
        <v>#N/A</v>
      </c>
      <c r="K146" s="316" t="e">
        <v>#N/A</v>
      </c>
      <c r="M146" s="257" t="s">
        <v>31</v>
      </c>
      <c r="N146" s="257" t="s">
        <v>31</v>
      </c>
      <c r="O146" s="256" t="s">
        <v>31</v>
      </c>
      <c r="P146" s="257" t="s">
        <v>31</v>
      </c>
      <c r="Q146" s="191" t="s">
        <v>31</v>
      </c>
      <c r="R146" s="390" t="s">
        <v>31</v>
      </c>
      <c r="AA146" s="236" t="s">
        <v>3574</v>
      </c>
      <c r="AB146" s="236" t="s">
        <v>3267</v>
      </c>
      <c r="AH146" s="256" t="s">
        <v>3863</v>
      </c>
      <c r="AI146" s="191" t="s">
        <v>3723</v>
      </c>
    </row>
    <row r="147" spans="1:35">
      <c r="A147" s="619"/>
      <c r="B147" s="240"/>
      <c r="C147" s="314"/>
      <c r="D147" s="192"/>
      <c r="E147" s="316" t="e">
        <v>#N/A</v>
      </c>
      <c r="G147" s="192" t="e">
        <v>#N/A</v>
      </c>
      <c r="I147" s="316" t="e">
        <v>#N/A</v>
      </c>
      <c r="K147" s="316" t="e">
        <v>#N/A</v>
      </c>
      <c r="M147" s="257" t="s">
        <v>3866</v>
      </c>
      <c r="N147" s="257"/>
      <c r="O147" s="256"/>
      <c r="P147" s="257"/>
      <c r="R147" s="390"/>
      <c r="T147" s="191">
        <v>2550</v>
      </c>
      <c r="U147" s="191">
        <v>1605</v>
      </c>
      <c r="AA147" s="236" t="s">
        <v>3575</v>
      </c>
      <c r="AB147" s="236" t="s">
        <v>3268</v>
      </c>
      <c r="AH147" s="256" t="s">
        <v>3723</v>
      </c>
      <c r="AI147" s="191" t="s">
        <v>3723</v>
      </c>
    </row>
    <row r="148" spans="1:35">
      <c r="A148" s="619"/>
      <c r="B148" s="240"/>
      <c r="C148" s="314"/>
      <c r="D148" s="192"/>
      <c r="E148" s="316" t="e">
        <v>#N/A</v>
      </c>
      <c r="G148" s="192" t="e">
        <v>#N/A</v>
      </c>
      <c r="I148" s="316" t="e">
        <v>#N/A</v>
      </c>
      <c r="K148" s="316" t="e">
        <v>#N/A</v>
      </c>
      <c r="M148" s="257" t="s">
        <v>39</v>
      </c>
      <c r="N148" s="257" t="s">
        <v>39</v>
      </c>
      <c r="O148" s="256" t="s">
        <v>39</v>
      </c>
      <c r="P148" s="257" t="s">
        <v>39</v>
      </c>
      <c r="Q148" s="191" t="s">
        <v>39</v>
      </c>
      <c r="R148" s="390" t="s">
        <v>39</v>
      </c>
      <c r="AA148" s="267" t="s">
        <v>3576</v>
      </c>
      <c r="AB148" s="267" t="s">
        <v>3269</v>
      </c>
      <c r="AH148" s="256" t="s">
        <v>3864</v>
      </c>
      <c r="AI148" s="191" t="s">
        <v>3723</v>
      </c>
    </row>
    <row r="149" spans="1:35">
      <c r="A149" s="619"/>
      <c r="B149" s="240"/>
      <c r="C149" s="314"/>
      <c r="D149" s="192"/>
      <c r="E149" s="316" t="e">
        <v>#N/A</v>
      </c>
      <c r="G149" s="192" t="e">
        <v>#N/A</v>
      </c>
      <c r="I149" s="316" t="e">
        <v>#N/A</v>
      </c>
      <c r="K149" s="316" t="e">
        <v>#N/A</v>
      </c>
      <c r="M149" s="257"/>
      <c r="N149" s="257"/>
      <c r="O149" s="256"/>
      <c r="P149" s="257"/>
      <c r="R149" s="390"/>
      <c r="T149" s="191">
        <v>2550</v>
      </c>
      <c r="U149" s="191">
        <v>1605</v>
      </c>
      <c r="AA149" s="236" t="s">
        <v>3577</v>
      </c>
      <c r="AB149" s="236" t="s">
        <v>3270</v>
      </c>
      <c r="AH149" s="191" t="s">
        <v>3865</v>
      </c>
      <c r="AI149" s="191" t="s">
        <v>3723</v>
      </c>
    </row>
    <row r="150" spans="1:35">
      <c r="A150" s="619"/>
      <c r="B150" s="240"/>
      <c r="C150" s="314"/>
      <c r="D150" s="192"/>
      <c r="E150" s="316" t="e">
        <v>#N/A</v>
      </c>
      <c r="G150" s="192" t="e">
        <v>#N/A</v>
      </c>
      <c r="I150" s="316" t="e">
        <v>#N/A</v>
      </c>
      <c r="K150" s="316" t="e">
        <v>#N/A</v>
      </c>
      <c r="M150" s="257"/>
      <c r="N150" s="257"/>
      <c r="O150" s="256"/>
      <c r="P150" s="257"/>
      <c r="R150" s="390"/>
      <c r="T150" s="191">
        <v>2550</v>
      </c>
      <c r="U150" s="191">
        <v>1605</v>
      </c>
      <c r="AA150" s="236" t="s">
        <v>3578</v>
      </c>
      <c r="AB150" s="236" t="s">
        <v>3271</v>
      </c>
      <c r="AH150" s="243" t="s">
        <v>3156</v>
      </c>
      <c r="AI150" s="270" t="s">
        <v>3159</v>
      </c>
    </row>
    <row r="151" spans="1:35">
      <c r="A151" s="619"/>
      <c r="B151" s="240"/>
      <c r="C151" s="314"/>
      <c r="D151" s="192"/>
      <c r="E151" s="316" t="e">
        <v>#N/A</v>
      </c>
      <c r="G151" s="192" t="e">
        <v>#N/A</v>
      </c>
      <c r="I151" s="316" t="e">
        <v>#N/A</v>
      </c>
      <c r="K151" s="316" t="e">
        <v>#N/A</v>
      </c>
      <c r="M151" s="257"/>
      <c r="N151" s="257"/>
      <c r="O151" s="256"/>
      <c r="P151" s="257"/>
      <c r="R151" s="390"/>
      <c r="T151" s="191">
        <v>2550</v>
      </c>
      <c r="U151" s="191">
        <v>1605</v>
      </c>
      <c r="AA151" s="236" t="s">
        <v>3579</v>
      </c>
      <c r="AB151" s="236" t="s">
        <v>3320</v>
      </c>
      <c r="AH151" s="243" t="s">
        <v>2708</v>
      </c>
      <c r="AI151" s="270" t="s">
        <v>2707</v>
      </c>
    </row>
    <row r="152" spans="1:35">
      <c r="A152" s="619"/>
      <c r="B152" s="240"/>
      <c r="C152" s="314"/>
      <c r="D152" s="192"/>
      <c r="E152" s="316" t="e">
        <v>#N/A</v>
      </c>
      <c r="G152" s="192" t="e">
        <v>#N/A</v>
      </c>
      <c r="I152" s="316" t="e">
        <v>#N/A</v>
      </c>
      <c r="K152" s="316" t="e">
        <v>#N/A</v>
      </c>
      <c r="M152" s="257"/>
      <c r="N152" s="257"/>
      <c r="O152" s="256"/>
      <c r="P152" s="257"/>
      <c r="R152" s="390"/>
      <c r="T152" s="191">
        <v>2550</v>
      </c>
      <c r="U152" s="191">
        <v>1605</v>
      </c>
      <c r="AA152" s="267" t="s">
        <v>3580</v>
      </c>
      <c r="AB152" s="267" t="s">
        <v>3318</v>
      </c>
      <c r="AH152" s="243" t="s">
        <v>3161</v>
      </c>
      <c r="AI152" s="270" t="s">
        <v>3165</v>
      </c>
    </row>
    <row r="153" spans="1:35">
      <c r="A153" s="619"/>
      <c r="B153" s="240"/>
      <c r="C153" s="314"/>
      <c r="D153" s="192"/>
      <c r="E153" s="316" t="e">
        <v>#N/A</v>
      </c>
      <c r="G153" s="192" t="e">
        <v>#N/A</v>
      </c>
      <c r="I153" s="316" t="e">
        <v>#N/A</v>
      </c>
      <c r="K153" s="316" t="e">
        <v>#N/A</v>
      </c>
      <c r="M153" s="257"/>
      <c r="N153" s="257"/>
      <c r="O153" s="256"/>
      <c r="P153" s="257"/>
      <c r="R153" s="390"/>
      <c r="T153" s="191">
        <v>2550</v>
      </c>
      <c r="U153" s="191">
        <v>1605</v>
      </c>
      <c r="AA153" s="267" t="s">
        <v>3618</v>
      </c>
      <c r="AB153" s="267" t="s">
        <v>3272</v>
      </c>
      <c r="AH153" s="243" t="s">
        <v>3162</v>
      </c>
      <c r="AI153" s="270" t="s">
        <v>3166</v>
      </c>
    </row>
    <row r="154" spans="1:35">
      <c r="A154" s="619"/>
      <c r="B154" s="243" t="str">
        <f t="shared" ref="B154:B155" si="13">IF($D$1=1,M154,
IF($D$1=2,N154,
IF($D$1=3,O154,
IF($D$1=4,P154,
IF($D$1=5,Q154,
IF($D$1=6,R154,0))))))</f>
        <v xml:space="preserve">Matelac RAL 9003 </v>
      </c>
      <c r="C154" s="228">
        <f t="shared" ref="C154:C155" si="14">IF($D$1=1,E154,IF(OR($D$1=2,$D$1=5),G154,IF($D$1=3,I154,IF($D$1=4,K154,IF($D$1=6,G154*1.3,0)))))</f>
        <v>594.59400000000005</v>
      </c>
      <c r="D154" s="192"/>
      <c r="E154" s="316">
        <v>3759.21</v>
      </c>
      <c r="F154" s="316"/>
      <c r="G154" s="192">
        <v>130.64766467065868</v>
      </c>
      <c r="H154" s="314"/>
      <c r="I154" s="316">
        <v>594.59400000000005</v>
      </c>
      <c r="J154" s="316"/>
      <c r="K154" s="316">
        <v>53499.193548387106</v>
      </c>
      <c r="L154" s="316"/>
      <c r="M154" s="257" t="s">
        <v>40</v>
      </c>
      <c r="N154" s="257" t="s">
        <v>40</v>
      </c>
      <c r="O154" s="256" t="s">
        <v>3384</v>
      </c>
      <c r="P154" s="257" t="s">
        <v>3384</v>
      </c>
      <c r="Q154" s="191" t="s">
        <v>3384</v>
      </c>
      <c r="R154" s="390" t="s">
        <v>40</v>
      </c>
      <c r="T154" s="191">
        <v>2550</v>
      </c>
      <c r="U154" s="191">
        <v>1605</v>
      </c>
      <c r="AA154" s="236" t="s">
        <v>3581</v>
      </c>
      <c r="AB154" s="236" t="s">
        <v>3273</v>
      </c>
      <c r="AH154" s="271" t="s">
        <v>3158</v>
      </c>
      <c r="AI154" s="270" t="s">
        <v>3159</v>
      </c>
    </row>
    <row r="155" spans="1:35">
      <c r="A155" s="619"/>
      <c r="B155" s="243" t="str">
        <f t="shared" si="13"/>
        <v xml:space="preserve">Matelac RAL 9005 </v>
      </c>
      <c r="C155" s="228">
        <f t="shared" si="14"/>
        <v>475.67520000000002</v>
      </c>
      <c r="D155" s="192"/>
      <c r="E155" s="316">
        <v>3007.3679999999999</v>
      </c>
      <c r="F155" s="316"/>
      <c r="G155" s="192">
        <v>104.51813173652697</v>
      </c>
      <c r="H155" s="314"/>
      <c r="I155" s="316">
        <v>475.67520000000002</v>
      </c>
      <c r="J155" s="316"/>
      <c r="K155" s="316">
        <v>42799.354838709682</v>
      </c>
      <c r="L155" s="316"/>
      <c r="M155" s="257" t="s">
        <v>41</v>
      </c>
      <c r="N155" s="257" t="s">
        <v>41</v>
      </c>
      <c r="O155" s="256" t="s">
        <v>3385</v>
      </c>
      <c r="P155" s="257" t="s">
        <v>3385</v>
      </c>
      <c r="Q155" s="191" t="s">
        <v>3385</v>
      </c>
      <c r="R155" s="390" t="s">
        <v>41</v>
      </c>
      <c r="T155" s="191">
        <v>2550</v>
      </c>
      <c r="U155" s="191">
        <v>1605</v>
      </c>
      <c r="AA155" s="236" t="s">
        <v>3582</v>
      </c>
      <c r="AB155" s="236" t="s">
        <v>3274</v>
      </c>
      <c r="AH155" s="271" t="s">
        <v>3157</v>
      </c>
      <c r="AI155" s="270" t="s">
        <v>2707</v>
      </c>
    </row>
    <row r="156" spans="1:35">
      <c r="A156" s="619"/>
      <c r="B156" s="240"/>
      <c r="C156" s="314"/>
      <c r="D156" s="192"/>
      <c r="E156" s="316" t="e">
        <v>#N/A</v>
      </c>
      <c r="G156" s="192" t="e">
        <v>#N/A</v>
      </c>
      <c r="I156" s="316" t="e">
        <v>#N/A</v>
      </c>
      <c r="K156" s="316" t="e">
        <v>#N/A</v>
      </c>
      <c r="M156" s="257"/>
      <c r="N156" s="257"/>
      <c r="O156" s="256"/>
      <c r="P156" s="257"/>
      <c r="R156" s="390"/>
      <c r="T156" s="191">
        <v>2550</v>
      </c>
      <c r="U156" s="191">
        <v>1605</v>
      </c>
      <c r="AA156" s="267" t="s">
        <v>3583</v>
      </c>
      <c r="AB156" s="267" t="s">
        <v>2705</v>
      </c>
      <c r="AH156" s="271" t="s">
        <v>3164</v>
      </c>
      <c r="AI156" s="270" t="s">
        <v>3165</v>
      </c>
    </row>
    <row r="157" spans="1:35">
      <c r="A157" s="619"/>
      <c r="B157" s="240"/>
      <c r="C157" s="314"/>
      <c r="D157" s="192"/>
      <c r="E157" s="316" t="e">
        <v>#N/A</v>
      </c>
      <c r="G157" s="192" t="e">
        <v>#N/A</v>
      </c>
      <c r="I157" s="316" t="e">
        <v>#N/A</v>
      </c>
      <c r="K157" s="316" t="e">
        <v>#N/A</v>
      </c>
      <c r="M157" s="257"/>
      <c r="N157" s="257"/>
      <c r="O157" s="256"/>
      <c r="P157" s="257"/>
      <c r="R157" s="390"/>
      <c r="T157" s="191">
        <v>2550</v>
      </c>
      <c r="U157" s="191">
        <v>1605</v>
      </c>
      <c r="AA157" s="267" t="s">
        <v>3584</v>
      </c>
      <c r="AB157" s="267" t="s">
        <v>3319</v>
      </c>
      <c r="AH157" s="271" t="s">
        <v>3163</v>
      </c>
      <c r="AI157" s="270" t="s">
        <v>3166</v>
      </c>
    </row>
    <row r="158" spans="1:35">
      <c r="A158" s="619"/>
      <c r="B158" s="240"/>
      <c r="C158" s="314"/>
      <c r="D158" s="192"/>
      <c r="E158" s="316" t="e">
        <v>#N/A</v>
      </c>
      <c r="G158" s="192" t="e">
        <v>#N/A</v>
      </c>
      <c r="I158" s="316" t="e">
        <v>#N/A</v>
      </c>
      <c r="K158" s="316" t="e">
        <v>#N/A</v>
      </c>
      <c r="M158" s="257"/>
      <c r="N158" s="257"/>
      <c r="O158" s="256"/>
      <c r="P158" s="257"/>
      <c r="R158" s="390"/>
      <c r="T158" s="191">
        <v>2550</v>
      </c>
      <c r="U158" s="191">
        <v>1605</v>
      </c>
      <c r="AA158" s="267" t="s">
        <v>3585</v>
      </c>
      <c r="AB158" s="267" t="s">
        <v>3275</v>
      </c>
      <c r="AH158" s="75" t="s">
        <v>3160</v>
      </c>
      <c r="AI158" s="270" t="s">
        <v>3159</v>
      </c>
    </row>
    <row r="159" spans="1:35">
      <c r="A159" s="619"/>
      <c r="B159" s="240"/>
      <c r="C159" s="314"/>
      <c r="D159" s="192"/>
      <c r="E159" s="316" t="e">
        <v>#N/A</v>
      </c>
      <c r="G159" s="192" t="e">
        <v>#N/A</v>
      </c>
      <c r="I159" s="316" t="e">
        <v>#N/A</v>
      </c>
      <c r="K159" s="316" t="e">
        <v>#N/A</v>
      </c>
      <c r="M159" s="257"/>
      <c r="N159" s="257"/>
      <c r="O159" s="256"/>
      <c r="P159" s="257"/>
      <c r="R159" s="390"/>
      <c r="T159" s="191">
        <v>2550</v>
      </c>
      <c r="U159" s="191">
        <v>1605</v>
      </c>
      <c r="AA159" s="267" t="s">
        <v>3586</v>
      </c>
      <c r="AB159" s="267" t="s">
        <v>3276</v>
      </c>
      <c r="AH159" s="75" t="s">
        <v>3168</v>
      </c>
      <c r="AI159" s="270" t="s">
        <v>2707</v>
      </c>
    </row>
    <row r="160" spans="1:35">
      <c r="A160" s="619"/>
      <c r="B160" s="243" t="str">
        <f t="shared" ref="B160:B167" si="15">IF($D$1=1,M160,
IF($D$1=2,N160,
IF($D$1=3,O160,
IF($D$1=4,P160,
IF($D$1=5,Q160,
IF($D$1=6,R160,0))))))</f>
        <v>Matelac lustro bronz</v>
      </c>
      <c r="C160" s="228">
        <f t="shared" ref="C160:C167" si="16">IF($D$1=1,E160,IF(OR($D$1=2,$D$1=5),G160,IF($D$1=3,I160,IF($D$1=4,K160,IF($D$1=6,G160*1.3,0)))))</f>
        <v>499.45895999999993</v>
      </c>
      <c r="D160" s="192"/>
      <c r="E160" s="316">
        <v>3157.7363999999998</v>
      </c>
      <c r="F160" s="316"/>
      <c r="G160" s="192">
        <v>109.74403832335331</v>
      </c>
      <c r="H160" s="314"/>
      <c r="I160" s="316">
        <v>499.45895999999993</v>
      </c>
      <c r="J160" s="316"/>
      <c r="K160" s="316">
        <v>44939.322580645159</v>
      </c>
      <c r="L160" s="316"/>
      <c r="M160" s="257" t="s">
        <v>46</v>
      </c>
      <c r="N160" s="257" t="s">
        <v>271</v>
      </c>
      <c r="O160" s="256" t="s">
        <v>269</v>
      </c>
      <c r="P160" s="257" t="s">
        <v>331</v>
      </c>
      <c r="Q160" s="191" t="s">
        <v>983</v>
      </c>
      <c r="R160" s="390" t="s">
        <v>3998</v>
      </c>
      <c r="T160" s="191">
        <v>2550</v>
      </c>
      <c r="U160" s="191">
        <v>1605</v>
      </c>
      <c r="AA160" s="267" t="s">
        <v>3538</v>
      </c>
      <c r="AB160" s="267" t="s">
        <v>3277</v>
      </c>
      <c r="AH160" s="75" t="s">
        <v>3169</v>
      </c>
      <c r="AI160" s="270" t="s">
        <v>3165</v>
      </c>
    </row>
    <row r="161" spans="1:35">
      <c r="A161" s="619"/>
      <c r="B161" s="243" t="str">
        <f t="shared" si="15"/>
        <v>Optiwhite</v>
      </c>
      <c r="C161" s="228">
        <f t="shared" si="16"/>
        <v>219.54239999999999</v>
      </c>
      <c r="D161" s="192"/>
      <c r="E161" s="316">
        <v>1388.0159999999998</v>
      </c>
      <c r="F161" s="316"/>
      <c r="G161" s="192">
        <v>48.239137724550893</v>
      </c>
      <c r="H161" s="314"/>
      <c r="I161" s="316">
        <v>219.54239999999999</v>
      </c>
      <c r="J161" s="316"/>
      <c r="K161" s="316">
        <v>19753.548387096773</v>
      </c>
      <c r="L161" s="316"/>
      <c r="M161" s="258" t="s">
        <v>3803</v>
      </c>
      <c r="N161" s="258" t="s">
        <v>3803</v>
      </c>
      <c r="O161" s="258" t="s">
        <v>3803</v>
      </c>
      <c r="P161" s="258" t="s">
        <v>3803</v>
      </c>
      <c r="Q161" s="258" t="s">
        <v>3803</v>
      </c>
      <c r="R161" s="390" t="s">
        <v>3803</v>
      </c>
      <c r="T161" s="191">
        <v>2550</v>
      </c>
      <c r="U161" s="191">
        <v>1605</v>
      </c>
      <c r="AA161" s="267" t="s">
        <v>3622</v>
      </c>
      <c r="AB161" s="267" t="s">
        <v>3278</v>
      </c>
      <c r="AH161" s="75" t="s">
        <v>3167</v>
      </c>
      <c r="AI161" s="270" t="s">
        <v>3166</v>
      </c>
    </row>
    <row r="162" spans="1:35">
      <c r="A162" s="619"/>
      <c r="B162" s="243" t="str">
        <f t="shared" si="15"/>
        <v>Matelac lustro grafit</v>
      </c>
      <c r="C162" s="228">
        <f t="shared" si="16"/>
        <v>499.45895999999993</v>
      </c>
      <c r="D162" s="192"/>
      <c r="E162" s="316">
        <v>3157.7363999999998</v>
      </c>
      <c r="F162" s="316"/>
      <c r="G162" s="192">
        <v>109.74403832335331</v>
      </c>
      <c r="H162" s="314"/>
      <c r="I162" s="316">
        <v>499.45895999999993</v>
      </c>
      <c r="J162" s="316"/>
      <c r="K162" s="316">
        <v>44939.322580645159</v>
      </c>
      <c r="L162" s="316"/>
      <c r="M162" s="257" t="s">
        <v>48</v>
      </c>
      <c r="N162" s="257" t="s">
        <v>272</v>
      </c>
      <c r="O162" s="256" t="s">
        <v>270</v>
      </c>
      <c r="P162" s="257" t="s">
        <v>332</v>
      </c>
      <c r="Q162" s="191" t="s">
        <v>984</v>
      </c>
      <c r="R162" s="390" t="s">
        <v>3999</v>
      </c>
      <c r="T162" s="191">
        <v>2550</v>
      </c>
      <c r="U162" s="191">
        <v>1605</v>
      </c>
      <c r="AA162" s="267" t="s">
        <v>3626</v>
      </c>
      <c r="AB162" s="267" t="s">
        <v>3279</v>
      </c>
      <c r="AH162" s="270" t="s">
        <v>3173</v>
      </c>
      <c r="AI162" s="270" t="s">
        <v>3159</v>
      </c>
    </row>
    <row r="163" spans="1:35">
      <c r="A163" s="619"/>
      <c r="B163" s="243" t="str">
        <f t="shared" si="15"/>
        <v>Matelac lustro srebrny</v>
      </c>
      <c r="C163" s="228">
        <f t="shared" si="16"/>
        <v>594.59400000000005</v>
      </c>
      <c r="D163" s="192"/>
      <c r="E163" s="316">
        <v>3759.21</v>
      </c>
      <c r="F163" s="316"/>
      <c r="G163" s="192">
        <v>130.64766467065868</v>
      </c>
      <c r="H163" s="314"/>
      <c r="I163" s="316">
        <v>594.59400000000005</v>
      </c>
      <c r="J163" s="316"/>
      <c r="K163" s="316">
        <v>53499.193548387106</v>
      </c>
      <c r="L163" s="316"/>
      <c r="M163" s="257" t="s">
        <v>47</v>
      </c>
      <c r="N163" s="257" t="s">
        <v>956</v>
      </c>
      <c r="O163" s="256" t="s">
        <v>957</v>
      </c>
      <c r="P163" s="257" t="s">
        <v>958</v>
      </c>
      <c r="Q163" s="191" t="s">
        <v>3859</v>
      </c>
      <c r="R163" s="390" t="s">
        <v>4000</v>
      </c>
      <c r="T163" s="191">
        <v>2550</v>
      </c>
      <c r="U163" s="191">
        <v>1605</v>
      </c>
      <c r="AA163" s="243" t="s">
        <v>3539</v>
      </c>
      <c r="AB163" s="243" t="s">
        <v>3280</v>
      </c>
      <c r="AH163" s="270" t="s">
        <v>3170</v>
      </c>
      <c r="AI163" s="270" t="s">
        <v>2707</v>
      </c>
    </row>
    <row r="164" spans="1:35">
      <c r="A164" s="286"/>
      <c r="B164" s="243" t="str">
        <f t="shared" si="15"/>
        <v>siatka alu złota - oko 10x6x1 mm</v>
      </c>
      <c r="C164" s="228">
        <f t="shared" si="16"/>
        <v>1959.5520000000001</v>
      </c>
      <c r="D164" s="192"/>
      <c r="E164" s="329">
        <v>12524.803200000002</v>
      </c>
      <c r="F164" s="329"/>
      <c r="G164" s="330">
        <v>433.20431654676258</v>
      </c>
      <c r="H164" s="330"/>
      <c r="I164" s="329">
        <v>1959.5520000000001</v>
      </c>
      <c r="J164" s="329"/>
      <c r="K164" s="329">
        <v>177867.02769230737</v>
      </c>
      <c r="L164" s="329"/>
      <c r="M164" s="243" t="s">
        <v>3156</v>
      </c>
      <c r="N164" s="271" t="s">
        <v>3158</v>
      </c>
      <c r="O164" s="270" t="s">
        <v>3159</v>
      </c>
      <c r="P164" s="75" t="s">
        <v>3160</v>
      </c>
      <c r="Q164" s="270" t="s">
        <v>3173</v>
      </c>
      <c r="R164" s="390" t="s">
        <v>4001</v>
      </c>
      <c r="T164" s="191">
        <v>1000</v>
      </c>
      <c r="U164" s="191">
        <v>500</v>
      </c>
      <c r="AA164" s="243" t="s">
        <v>3540</v>
      </c>
      <c r="AB164" s="243" t="s">
        <v>3281</v>
      </c>
      <c r="AH164" s="270" t="s">
        <v>3171</v>
      </c>
      <c r="AI164" s="270" t="s">
        <v>3165</v>
      </c>
    </row>
    <row r="165" spans="1:35">
      <c r="A165" s="286"/>
      <c r="B165" s="243" t="str">
        <f t="shared" si="15"/>
        <v>siatka stal czarny mat RAL 9005– oko 8x4x1 mm</v>
      </c>
      <c r="C165" s="228">
        <f t="shared" si="16"/>
        <v>787.32</v>
      </c>
      <c r="D165" s="192"/>
      <c r="E165" s="329">
        <v>5032.2870000000003</v>
      </c>
      <c r="F165" s="329"/>
      <c r="G165" s="330">
        <v>174.05530575539584</v>
      </c>
      <c r="H165" s="330"/>
      <c r="I165" s="329">
        <v>787.32</v>
      </c>
      <c r="J165" s="329"/>
      <c r="K165" s="329">
        <v>71464.430769230748</v>
      </c>
      <c r="L165" s="329"/>
      <c r="M165" s="243" t="s">
        <v>2708</v>
      </c>
      <c r="N165" s="271" t="s">
        <v>3157</v>
      </c>
      <c r="O165" s="270" t="s">
        <v>2707</v>
      </c>
      <c r="P165" s="75" t="s">
        <v>3168</v>
      </c>
      <c r="Q165" s="270" t="s">
        <v>3170</v>
      </c>
      <c r="R165" s="390" t="s">
        <v>4002</v>
      </c>
      <c r="T165" s="191">
        <v>1000</v>
      </c>
      <c r="U165" s="191">
        <v>500</v>
      </c>
      <c r="AA165" s="243" t="s">
        <v>3541</v>
      </c>
      <c r="AB165" s="243" t="s">
        <v>3282</v>
      </c>
      <c r="AH165" s="270" t="s">
        <v>3172</v>
      </c>
      <c r="AI165" s="270" t="s">
        <v>3166</v>
      </c>
    </row>
    <row r="166" spans="1:35">
      <c r="A166" s="286"/>
      <c r="B166" s="243" t="str">
        <f t="shared" si="15"/>
        <v>siatka stalowa biała - oko 8x4x1 mm</v>
      </c>
      <c r="C166" s="228">
        <f t="shared" si="16"/>
        <v>787.32</v>
      </c>
      <c r="D166" s="192"/>
      <c r="E166" s="329">
        <v>5032.2870000000003</v>
      </c>
      <c r="F166" s="329"/>
      <c r="G166" s="330">
        <v>174.05530575539584</v>
      </c>
      <c r="H166" s="330"/>
      <c r="I166" s="329">
        <v>787.32</v>
      </c>
      <c r="J166" s="329"/>
      <c r="K166" s="329">
        <v>71464.430769230748</v>
      </c>
      <c r="L166" s="329"/>
      <c r="M166" s="243" t="s">
        <v>3161</v>
      </c>
      <c r="N166" s="271" t="s">
        <v>3164</v>
      </c>
      <c r="O166" s="270" t="s">
        <v>3165</v>
      </c>
      <c r="P166" s="75" t="s">
        <v>3169</v>
      </c>
      <c r="Q166" s="270" t="s">
        <v>3171</v>
      </c>
      <c r="R166" s="390" t="s">
        <v>4003</v>
      </c>
      <c r="T166" s="191">
        <v>1000</v>
      </c>
      <c r="U166" s="191">
        <v>500</v>
      </c>
      <c r="AA166" s="243" t="s">
        <v>3542</v>
      </c>
      <c r="AB166" s="243" t="s">
        <v>2736</v>
      </c>
      <c r="AH166"/>
      <c r="AI166"/>
    </row>
    <row r="167" spans="1:35">
      <c r="B167" s="243" t="str">
        <f t="shared" si="15"/>
        <v>siatka elox - oko 10x6x1 mm</v>
      </c>
      <c r="C167" s="228">
        <f t="shared" si="16"/>
        <v>1959.5520000000001</v>
      </c>
      <c r="D167" s="192"/>
      <c r="E167" s="329">
        <v>12524.803200000002</v>
      </c>
      <c r="F167" s="329"/>
      <c r="G167" s="330">
        <v>433.20431654676258</v>
      </c>
      <c r="H167" s="330"/>
      <c r="I167" s="329">
        <v>1959.5520000000001</v>
      </c>
      <c r="J167" s="329"/>
      <c r="K167" s="329">
        <v>177867.02769230737</v>
      </c>
      <c r="L167" s="329"/>
      <c r="M167" s="243" t="s">
        <v>3162</v>
      </c>
      <c r="N167" s="271" t="s">
        <v>3163</v>
      </c>
      <c r="O167" s="270" t="s">
        <v>3166</v>
      </c>
      <c r="P167" s="75" t="s">
        <v>3167</v>
      </c>
      <c r="Q167" s="270" t="s">
        <v>3172</v>
      </c>
      <c r="R167" s="390" t="s">
        <v>4004</v>
      </c>
      <c r="T167" s="191">
        <v>1000</v>
      </c>
      <c r="U167" s="191">
        <v>500</v>
      </c>
      <c r="AA167" s="243" t="s">
        <v>3543</v>
      </c>
      <c r="AB167" s="243" t="s">
        <v>3283</v>
      </c>
      <c r="AH167"/>
      <c r="AI167"/>
    </row>
    <row r="168" spans="1:35">
      <c r="B168" s="240"/>
      <c r="G168" s="623"/>
      <c r="H168" s="623"/>
      <c r="I168" s="623"/>
      <c r="J168" s="623"/>
      <c r="K168" s="623"/>
      <c r="L168" s="623"/>
      <c r="AA168" s="243" t="s">
        <v>3544</v>
      </c>
      <c r="AB168" s="243" t="s">
        <v>3321</v>
      </c>
      <c r="AH168"/>
      <c r="AI168"/>
    </row>
    <row r="169" spans="1:35">
      <c r="B169" s="240" t="str">
        <f>IF($D$1=1,M169,IF($D$1=2,N169,IF($D$1=3,O169,IF($D$1=4,P169,IF($D$1=5,Q169,IF($D$1=6,R169,0))))))</f>
        <v>Ramka</v>
      </c>
      <c r="H169" s="191" t="s">
        <v>377</v>
      </c>
      <c r="M169" s="233" t="s">
        <v>985</v>
      </c>
      <c r="N169" s="191" t="s">
        <v>986</v>
      </c>
      <c r="O169" s="191" t="s">
        <v>1016</v>
      </c>
      <c r="P169" s="191" t="s">
        <v>1220</v>
      </c>
      <c r="Q169" s="191" t="s">
        <v>1015</v>
      </c>
      <c r="R169" s="390" t="s">
        <v>4005</v>
      </c>
      <c r="AA169" s="236" t="s">
        <v>3628</v>
      </c>
      <c r="AB169" s="236" t="s">
        <v>3237</v>
      </c>
      <c r="AH169"/>
      <c r="AI169"/>
    </row>
    <row r="170" spans="1:35">
      <c r="B170" s="240" t="str">
        <f t="shared" ref="B170:B233" si="17">IF($D$1=1,M170,IF($D$1=2,N170,IF($D$1=3,O170,IF($D$1=4,P170,IF($D$1=5,Q170,IF($D$1=6,R170,0))))))</f>
        <v>Standardowe wiercenie pod puszkę zawiasu wynosi 3mm od krawędzi.</v>
      </c>
      <c r="G170" s="191" t="s">
        <v>377</v>
      </c>
      <c r="J170" s="191" t="s">
        <v>377</v>
      </c>
      <c r="M170" s="233" t="s">
        <v>436</v>
      </c>
      <c r="N170" s="191" t="s">
        <v>471</v>
      </c>
      <c r="O170" s="191" t="s">
        <v>961</v>
      </c>
      <c r="P170" s="191" t="s">
        <v>1356</v>
      </c>
      <c r="Q170" s="191" t="s">
        <v>1560</v>
      </c>
      <c r="R170" s="390" t="s">
        <v>4006</v>
      </c>
      <c r="AA170" s="236" t="s">
        <v>3629</v>
      </c>
      <c r="AB170" s="236" t="s">
        <v>3317</v>
      </c>
      <c r="AH170"/>
      <c r="AI170"/>
    </row>
    <row r="171" spans="1:35">
      <c r="B171" s="240" t="str">
        <f t="shared" si="17"/>
        <v>Podane ceny nie zawierają podatku VAT ani nie zawierają ceny okuć!</v>
      </c>
      <c r="M171" s="233" t="s">
        <v>415</v>
      </c>
      <c r="N171" s="191" t="s">
        <v>472</v>
      </c>
      <c r="O171" s="191" t="s">
        <v>962</v>
      </c>
      <c r="P171" s="191" t="s">
        <v>1357</v>
      </c>
      <c r="Q171" s="191" t="s">
        <v>1561</v>
      </c>
      <c r="R171" s="390" t="s">
        <v>4007</v>
      </c>
      <c r="AA171" s="236" t="s">
        <v>3630</v>
      </c>
      <c r="AB171" s="236" t="s">
        <v>3238</v>
      </c>
      <c r="AH171"/>
      <c r="AI171"/>
    </row>
    <row r="172" spans="1:35">
      <c r="B172" s="240" t="str">
        <f t="shared" si="17"/>
        <v>Rodzaj profilu</v>
      </c>
      <c r="M172" s="233" t="s">
        <v>151</v>
      </c>
      <c r="N172" s="191" t="s">
        <v>151</v>
      </c>
      <c r="O172" s="191" t="s">
        <v>335</v>
      </c>
      <c r="P172" s="191" t="s">
        <v>347</v>
      </c>
      <c r="Q172" s="191" t="s">
        <v>1562</v>
      </c>
      <c r="R172" s="390" t="s">
        <v>4008</v>
      </c>
      <c r="AA172" s="236" t="s">
        <v>3631</v>
      </c>
      <c r="AB172" s="236" t="s">
        <v>3239</v>
      </c>
      <c r="AH172"/>
      <c r="AI172"/>
    </row>
    <row r="173" spans="1:35">
      <c r="B173" s="240" t="str">
        <f t="shared" si="17"/>
        <v>Rodzaj szkła</v>
      </c>
      <c r="M173" s="233" t="s">
        <v>2202</v>
      </c>
      <c r="N173" s="191" t="s">
        <v>2203</v>
      </c>
      <c r="O173" s="191" t="s">
        <v>12</v>
      </c>
      <c r="P173" s="191" t="s">
        <v>277</v>
      </c>
      <c r="Q173" s="191" t="s">
        <v>1467</v>
      </c>
      <c r="R173" s="390" t="s">
        <v>4009</v>
      </c>
      <c r="AA173" s="236" t="s">
        <v>3632</v>
      </c>
      <c r="AB173" s="236" t="s">
        <v>3240</v>
      </c>
      <c r="AH173"/>
      <c r="AI173"/>
    </row>
    <row r="174" spans="1:35">
      <c r="B174" s="240" t="str">
        <f t="shared" si="17"/>
        <v>Ilość sztuk</v>
      </c>
      <c r="M174" s="233" t="s">
        <v>4</v>
      </c>
      <c r="N174" s="191" t="s">
        <v>155</v>
      </c>
      <c r="O174" s="191" t="s">
        <v>13</v>
      </c>
      <c r="P174" s="191" t="s">
        <v>1358</v>
      </c>
      <c r="Q174" s="191" t="s">
        <v>987</v>
      </c>
      <c r="R174" s="390" t="s">
        <v>4010</v>
      </c>
      <c r="AA174" s="237" t="s">
        <v>3633</v>
      </c>
      <c r="AB174" s="236" t="s">
        <v>3241</v>
      </c>
      <c r="AH174"/>
      <c r="AI174"/>
    </row>
    <row r="175" spans="1:35">
      <c r="B175" s="240" t="str">
        <f t="shared" si="17"/>
        <v>Szerokość</v>
      </c>
      <c r="M175" s="233" t="s">
        <v>3</v>
      </c>
      <c r="N175" s="191" t="s">
        <v>156</v>
      </c>
      <c r="O175" s="191" t="s">
        <v>9</v>
      </c>
      <c r="P175" s="191" t="s">
        <v>278</v>
      </c>
      <c r="Q175" s="191" t="s">
        <v>988</v>
      </c>
      <c r="R175" s="390" t="s">
        <v>4011</v>
      </c>
      <c r="AA175" s="237" t="s">
        <v>3634</v>
      </c>
      <c r="AB175" s="236" t="s">
        <v>3242</v>
      </c>
      <c r="AH175"/>
      <c r="AI175"/>
    </row>
    <row r="176" spans="1:35">
      <c r="B176" s="240" t="str">
        <f t="shared" si="17"/>
        <v>Wysokość</v>
      </c>
      <c r="M176" s="233" t="s">
        <v>14</v>
      </c>
      <c r="N176" s="191" t="s">
        <v>14</v>
      </c>
      <c r="O176" s="191" t="s">
        <v>10</v>
      </c>
      <c r="P176" s="191" t="s">
        <v>279</v>
      </c>
      <c r="Q176" s="191" t="s">
        <v>989</v>
      </c>
      <c r="R176" s="390" t="s">
        <v>4012</v>
      </c>
      <c r="AA176" s="237" t="s">
        <v>3697</v>
      </c>
      <c r="AB176" s="237" t="s">
        <v>1724</v>
      </c>
      <c r="AH176"/>
      <c r="AI176"/>
    </row>
    <row r="177" spans="2:35">
      <c r="B177" s="240" t="str">
        <f t="shared" si="17"/>
        <v>Uwagi (notatki)</v>
      </c>
      <c r="M177" s="233" t="s">
        <v>333</v>
      </c>
      <c r="N177" s="191" t="s">
        <v>333</v>
      </c>
      <c r="O177" s="191" t="s">
        <v>212</v>
      </c>
      <c r="P177" s="191" t="s">
        <v>334</v>
      </c>
      <c r="Q177" s="191" t="s">
        <v>1528</v>
      </c>
      <c r="R177" s="390" t="s">
        <v>4013</v>
      </c>
      <c r="AA177" s="237" t="s">
        <v>3635</v>
      </c>
      <c r="AB177" s="236" t="s">
        <v>3243</v>
      </c>
      <c r="AH177"/>
      <c r="AI177"/>
    </row>
    <row r="178" spans="2:35">
      <c r="B178" s="240" t="str">
        <f t="shared" si="17"/>
        <v>Cena ramek</v>
      </c>
      <c r="J178" s="191" t="s">
        <v>377</v>
      </c>
      <c r="M178" s="233" t="s">
        <v>16</v>
      </c>
      <c r="N178" s="191" t="s">
        <v>157</v>
      </c>
      <c r="O178" s="191" t="s">
        <v>213</v>
      </c>
      <c r="P178" s="191" t="s">
        <v>280</v>
      </c>
      <c r="Q178" s="191" t="s">
        <v>990</v>
      </c>
      <c r="R178" s="390" t="s">
        <v>4014</v>
      </c>
      <c r="AA178" s="237" t="s">
        <v>3636</v>
      </c>
      <c r="AB178" s="236" t="s">
        <v>3244</v>
      </c>
      <c r="AH178"/>
      <c r="AI178"/>
    </row>
    <row r="179" spans="2:35">
      <c r="B179" s="240" t="str">
        <f t="shared" si="17"/>
        <v>Cena okuć</v>
      </c>
      <c r="M179" s="191" t="s">
        <v>17</v>
      </c>
      <c r="N179" s="191" t="s">
        <v>158</v>
      </c>
      <c r="O179" s="191" t="s">
        <v>214</v>
      </c>
      <c r="P179" s="191" t="s">
        <v>281</v>
      </c>
      <c r="Q179" s="191" t="s">
        <v>1563</v>
      </c>
      <c r="R179" s="390" t="s">
        <v>4015</v>
      </c>
      <c r="AA179" s="237" t="s">
        <v>3637</v>
      </c>
      <c r="AB179" s="236" t="s">
        <v>3245</v>
      </c>
      <c r="AH179"/>
      <c r="AI179"/>
    </row>
    <row r="180" spans="2:35">
      <c r="B180" s="240" t="str">
        <f t="shared" si="17"/>
        <v>Cena za kompletne zamówienie</v>
      </c>
      <c r="M180" s="191" t="s">
        <v>49</v>
      </c>
      <c r="N180" s="191" t="s">
        <v>159</v>
      </c>
      <c r="O180" s="191" t="s">
        <v>215</v>
      </c>
      <c r="P180" s="191" t="s">
        <v>282</v>
      </c>
      <c r="Q180" s="191" t="s">
        <v>1564</v>
      </c>
      <c r="R180" s="390" t="s">
        <v>4016</v>
      </c>
      <c r="AA180" s="237" t="s">
        <v>3638</v>
      </c>
      <c r="AB180" s="236" t="s">
        <v>557</v>
      </c>
      <c r="AH180"/>
      <c r="AI180"/>
    </row>
    <row r="181" spans="2:35">
      <c r="B181" s="240" t="str">
        <f t="shared" si="17"/>
        <v>Zawiasy</v>
      </c>
      <c r="M181" s="233" t="s">
        <v>401</v>
      </c>
      <c r="N181" s="191" t="s">
        <v>402</v>
      </c>
      <c r="O181" s="191" t="s">
        <v>403</v>
      </c>
      <c r="P181" s="191" t="s">
        <v>404</v>
      </c>
      <c r="Q181" s="191" t="s">
        <v>1565</v>
      </c>
      <c r="R181" s="390" t="s">
        <v>4017</v>
      </c>
      <c r="AA181" s="237" t="s">
        <v>3639</v>
      </c>
      <c r="AB181" s="236" t="s">
        <v>3246</v>
      </c>
      <c r="AH181"/>
      <c r="AI181"/>
    </row>
    <row r="182" spans="2:35">
      <c r="B182" s="240" t="str">
        <f t="shared" si="17"/>
        <v>Aventos - pozostałe</v>
      </c>
      <c r="M182" s="233" t="s">
        <v>405</v>
      </c>
      <c r="N182" s="191" t="s">
        <v>406</v>
      </c>
      <c r="O182" s="191" t="s">
        <v>407</v>
      </c>
      <c r="P182" s="191" t="s">
        <v>1359</v>
      </c>
      <c r="Q182" s="191" t="s">
        <v>1566</v>
      </c>
      <c r="R182" s="390" t="s">
        <v>4018</v>
      </c>
      <c r="AA182" s="237" t="s">
        <v>3640</v>
      </c>
      <c r="AB182" s="236" t="s">
        <v>3247</v>
      </c>
      <c r="AH182"/>
      <c r="AI182"/>
    </row>
    <row r="183" spans="2:35">
      <c r="B183" s="240" t="str">
        <f t="shared" si="17"/>
        <v>STRONG z tłumieniem</v>
      </c>
      <c r="M183" s="233" t="s">
        <v>650</v>
      </c>
      <c r="N183" s="191" t="s">
        <v>931</v>
      </c>
      <c r="O183" s="191" t="s">
        <v>932</v>
      </c>
      <c r="P183" s="191" t="s">
        <v>933</v>
      </c>
      <c r="Q183" s="191" t="s">
        <v>1567</v>
      </c>
      <c r="R183" s="390" t="s">
        <v>4019</v>
      </c>
      <c r="AA183" s="237" t="s">
        <v>3641</v>
      </c>
      <c r="AB183" s="236" t="s">
        <v>3248</v>
      </c>
      <c r="AH183"/>
      <c r="AI183"/>
    </row>
    <row r="184" spans="2:35">
      <c r="B184" s="240" t="str">
        <f t="shared" si="17"/>
        <v>Zawias z podnośnikiem gazowym</v>
      </c>
      <c r="M184" s="233" t="s">
        <v>408</v>
      </c>
      <c r="N184" s="191" t="s">
        <v>409</v>
      </c>
      <c r="O184" s="191" t="s">
        <v>1419</v>
      </c>
      <c r="P184" s="191" t="s">
        <v>1360</v>
      </c>
      <c r="Q184" s="191" t="s">
        <v>1568</v>
      </c>
      <c r="R184" s="390" t="s">
        <v>4020</v>
      </c>
      <c r="AA184" s="236" t="s">
        <v>3642</v>
      </c>
      <c r="AB184" s="236" t="s">
        <v>3249</v>
      </c>
      <c r="AH184"/>
      <c r="AI184"/>
    </row>
    <row r="185" spans="2:35">
      <c r="B185" s="240" t="str">
        <f t="shared" si="17"/>
        <v>Górne drzwi</v>
      </c>
      <c r="M185" s="233" t="s">
        <v>3152</v>
      </c>
      <c r="N185" s="191" t="s">
        <v>160</v>
      </c>
      <c r="O185" s="191" t="s">
        <v>216</v>
      </c>
      <c r="P185" s="191" t="s">
        <v>410</v>
      </c>
      <c r="Q185" s="191" t="s">
        <v>1468</v>
      </c>
      <c r="R185" s="390" t="s">
        <v>4021</v>
      </c>
      <c r="AA185" s="237" t="s">
        <v>3643</v>
      </c>
      <c r="AB185" s="236" t="s">
        <v>3250</v>
      </c>
      <c r="AH185"/>
      <c r="AI185"/>
    </row>
    <row r="186" spans="2:35">
      <c r="B186" s="240" t="str">
        <f t="shared" si="17"/>
        <v>Dolne drzwi</v>
      </c>
      <c r="M186" s="233" t="s">
        <v>3153</v>
      </c>
      <c r="N186" s="191" t="s">
        <v>161</v>
      </c>
      <c r="O186" s="191" t="s">
        <v>217</v>
      </c>
      <c r="P186" s="191" t="s">
        <v>283</v>
      </c>
      <c r="Q186" s="191" t="s">
        <v>1469</v>
      </c>
      <c r="R186" s="390" t="s">
        <v>4022</v>
      </c>
      <c r="AA186" s="237" t="s">
        <v>3644</v>
      </c>
      <c r="AB186" s="236" t="s">
        <v>3251</v>
      </c>
      <c r="AH186"/>
      <c r="AI186"/>
    </row>
    <row r="187" spans="2:35">
      <c r="B187" s="240" t="str">
        <f t="shared" si="17"/>
        <v>Nakładany Clip</v>
      </c>
      <c r="M187" s="212" t="s">
        <v>65</v>
      </c>
      <c r="N187" s="191" t="s">
        <v>65</v>
      </c>
      <c r="O187" s="191" t="s">
        <v>218</v>
      </c>
      <c r="P187" s="191" t="s">
        <v>284</v>
      </c>
      <c r="Q187" s="191" t="s">
        <v>1569</v>
      </c>
      <c r="R187" s="390" t="s">
        <v>4023</v>
      </c>
      <c r="AA187" s="237" t="s">
        <v>3645</v>
      </c>
      <c r="AB187" s="237" t="s">
        <v>3252</v>
      </c>
      <c r="AH187"/>
      <c r="AI187"/>
    </row>
    <row r="188" spans="2:35">
      <c r="B188" s="240" t="str">
        <f t="shared" si="17"/>
        <v>Półnakładany Clip</v>
      </c>
      <c r="M188" s="212" t="s">
        <v>66</v>
      </c>
      <c r="N188" s="191" t="s">
        <v>66</v>
      </c>
      <c r="O188" s="191" t="s">
        <v>219</v>
      </c>
      <c r="P188" s="191" t="s">
        <v>1361</v>
      </c>
      <c r="Q188" s="191" t="s">
        <v>1570</v>
      </c>
      <c r="R188" s="390" t="s">
        <v>4024</v>
      </c>
      <c r="AA188" s="236" t="s">
        <v>3646</v>
      </c>
      <c r="AB188" s="236" t="s">
        <v>3253</v>
      </c>
      <c r="AH188"/>
      <c r="AI188"/>
    </row>
    <row r="189" spans="2:35">
      <c r="B189" s="240" t="str">
        <f t="shared" si="17"/>
        <v>Wpuszczany Clip</v>
      </c>
      <c r="M189" s="212" t="s">
        <v>67</v>
      </c>
      <c r="N189" s="191" t="s">
        <v>67</v>
      </c>
      <c r="O189" s="191" t="s">
        <v>220</v>
      </c>
      <c r="P189" s="191" t="s">
        <v>1362</v>
      </c>
      <c r="Q189" s="191" t="s">
        <v>1571</v>
      </c>
      <c r="R189" s="390" t="s">
        <v>4025</v>
      </c>
      <c r="AA189" s="236" t="s">
        <v>3647</v>
      </c>
      <c r="AB189" s="236" t="s">
        <v>3254</v>
      </c>
      <c r="AH189"/>
      <c r="AI189"/>
    </row>
    <row r="190" spans="2:35">
      <c r="B190" s="240" t="str">
        <f t="shared" si="17"/>
        <v>Kąt 45°</v>
      </c>
      <c r="M190" s="212" t="s">
        <v>68</v>
      </c>
      <c r="N190" s="191" t="s">
        <v>162</v>
      </c>
      <c r="O190" s="191" t="s">
        <v>221</v>
      </c>
      <c r="P190" s="191" t="s">
        <v>285</v>
      </c>
      <c r="Q190" s="191" t="s">
        <v>1470</v>
      </c>
      <c r="R190" s="390" t="s">
        <v>4026</v>
      </c>
      <c r="AA190" s="236" t="s">
        <v>3650</v>
      </c>
      <c r="AB190" s="236" t="s">
        <v>3255</v>
      </c>
      <c r="AH190"/>
      <c r="AI190"/>
    </row>
    <row r="191" spans="2:35">
      <c r="B191" s="240" t="str">
        <f t="shared" si="17"/>
        <v>Nakładany</v>
      </c>
      <c r="M191" s="191" t="s">
        <v>69</v>
      </c>
      <c r="N191" s="191" t="s">
        <v>163</v>
      </c>
      <c r="O191" s="191" t="s">
        <v>222</v>
      </c>
      <c r="P191" s="191" t="s">
        <v>286</v>
      </c>
      <c r="Q191" s="191" t="s">
        <v>1716</v>
      </c>
      <c r="R191" s="390" t="s">
        <v>4027</v>
      </c>
      <c r="AA191" s="237" t="s">
        <v>3651</v>
      </c>
      <c r="AB191" s="236" t="s">
        <v>3256</v>
      </c>
      <c r="AH191"/>
      <c r="AI191"/>
    </row>
    <row r="192" spans="2:35">
      <c r="B192" s="240" t="str">
        <f t="shared" si="17"/>
        <v>Półnakładany</v>
      </c>
      <c r="M192" s="191" t="s">
        <v>70</v>
      </c>
      <c r="N192" s="191" t="s">
        <v>164</v>
      </c>
      <c r="O192" s="191" t="s">
        <v>223</v>
      </c>
      <c r="P192" s="191" t="s">
        <v>1363</v>
      </c>
      <c r="Q192" s="191" t="s">
        <v>1573</v>
      </c>
      <c r="R192" s="390" t="s">
        <v>4028</v>
      </c>
      <c r="AA192" s="237" t="s">
        <v>3652</v>
      </c>
      <c r="AB192" s="237" t="s">
        <v>3257</v>
      </c>
      <c r="AH192"/>
      <c r="AI192"/>
    </row>
    <row r="193" spans="2:35">
      <c r="B193" s="240" t="str">
        <f t="shared" si="17"/>
        <v xml:space="preserve">Wpuszczany </v>
      </c>
      <c r="M193" s="191" t="s">
        <v>71</v>
      </c>
      <c r="N193" s="191" t="s">
        <v>165</v>
      </c>
      <c r="O193" s="191" t="s">
        <v>224</v>
      </c>
      <c r="P193" s="191" t="s">
        <v>1364</v>
      </c>
      <c r="Q193" s="191" t="s">
        <v>991</v>
      </c>
      <c r="R193" s="390" t="s">
        <v>4029</v>
      </c>
      <c r="AA193" s="237" t="s">
        <v>3655</v>
      </c>
      <c r="AB193" s="236" t="s">
        <v>3258</v>
      </c>
      <c r="AH193"/>
      <c r="AI193"/>
    </row>
    <row r="194" spans="2:35">
      <c r="B194" s="240" t="str">
        <f t="shared" si="17"/>
        <v>Kąt 45°</v>
      </c>
      <c r="M194" s="191" t="s">
        <v>68</v>
      </c>
      <c r="N194" s="191" t="s">
        <v>162</v>
      </c>
      <c r="O194" s="191" t="s">
        <v>221</v>
      </c>
      <c r="P194" s="191" t="s">
        <v>285</v>
      </c>
      <c r="Q194" s="191" t="s">
        <v>1470</v>
      </c>
      <c r="R194" s="390" t="s">
        <v>4026</v>
      </c>
      <c r="AA194" s="237" t="s">
        <v>3656</v>
      </c>
      <c r="AB194" s="236" t="s">
        <v>3259</v>
      </c>
      <c r="AH194"/>
      <c r="AI194"/>
    </row>
    <row r="195" spans="2:35">
      <c r="B195" s="240" t="str">
        <f t="shared" si="17"/>
        <v>Nakładany z odwrotną funkcją sprężyny</v>
      </c>
      <c r="M195" s="191" t="s">
        <v>72</v>
      </c>
      <c r="N195" s="191" t="s">
        <v>72</v>
      </c>
      <c r="O195" s="191" t="s">
        <v>225</v>
      </c>
      <c r="P195" s="191" t="s">
        <v>289</v>
      </c>
      <c r="Q195" s="191" t="s">
        <v>1574</v>
      </c>
      <c r="R195" s="390" t="s">
        <v>4030</v>
      </c>
      <c r="AA195" s="237" t="s">
        <v>3657</v>
      </c>
      <c r="AB195" s="236" t="s">
        <v>3260</v>
      </c>
      <c r="AH195"/>
      <c r="AI195"/>
    </row>
    <row r="196" spans="2:35">
      <c r="B196" s="240" t="str">
        <f t="shared" si="17"/>
        <v>Wpuszczany z odwrotną funkcją sprężyny</v>
      </c>
      <c r="M196" s="191" t="s">
        <v>73</v>
      </c>
      <c r="N196" s="191" t="s">
        <v>73</v>
      </c>
      <c r="O196" s="191" t="s">
        <v>226</v>
      </c>
      <c r="P196" s="191" t="s">
        <v>1365</v>
      </c>
      <c r="Q196" s="191" t="s">
        <v>1575</v>
      </c>
      <c r="R196" s="390" t="s">
        <v>4031</v>
      </c>
      <c r="AA196" s="237" t="s">
        <v>3658</v>
      </c>
      <c r="AB196" s="236" t="s">
        <v>3261</v>
      </c>
      <c r="AH196"/>
      <c r="AI196"/>
    </row>
    <row r="197" spans="2:35">
      <c r="B197" s="240" t="str">
        <f t="shared" si="17"/>
        <v>Clip na wkręt H2</v>
      </c>
      <c r="M197" s="233" t="s">
        <v>89</v>
      </c>
      <c r="N197" s="191" t="s">
        <v>166</v>
      </c>
      <c r="O197" s="191" t="s">
        <v>227</v>
      </c>
      <c r="P197" s="191" t="s">
        <v>290</v>
      </c>
      <c r="Q197" s="191" t="s">
        <v>1576</v>
      </c>
      <c r="R197" s="390" t="s">
        <v>4032</v>
      </c>
      <c r="AA197" s="236" t="s">
        <v>3659</v>
      </c>
      <c r="AB197" s="236" t="s">
        <v>3262</v>
      </c>
      <c r="AH197"/>
      <c r="AI197"/>
    </row>
    <row r="198" spans="2:35">
      <c r="B198" s="240" t="str">
        <f t="shared" si="17"/>
        <v>Clip na wkręt H4</v>
      </c>
      <c r="M198" s="233" t="s">
        <v>90</v>
      </c>
      <c r="N198" s="191" t="s">
        <v>167</v>
      </c>
      <c r="O198" s="191" t="s">
        <v>228</v>
      </c>
      <c r="P198" s="191" t="s">
        <v>291</v>
      </c>
      <c r="Q198" s="191" t="s">
        <v>1577</v>
      </c>
      <c r="R198" s="390" t="s">
        <v>4033</v>
      </c>
      <c r="AA198" s="236" t="s">
        <v>3660</v>
      </c>
      <c r="AB198" s="236" t="s">
        <v>3263</v>
      </c>
      <c r="AH198"/>
      <c r="AI198"/>
    </row>
    <row r="199" spans="2:35">
      <c r="B199" s="240" t="str">
        <f t="shared" si="17"/>
        <v>Clip na wkręt euro H2</v>
      </c>
      <c r="M199" s="233" t="s">
        <v>91</v>
      </c>
      <c r="N199" s="191" t="s">
        <v>168</v>
      </c>
      <c r="O199" s="191" t="s">
        <v>229</v>
      </c>
      <c r="P199" s="191" t="s">
        <v>292</v>
      </c>
      <c r="Q199" s="191" t="s">
        <v>1578</v>
      </c>
      <c r="R199" s="390" t="s">
        <v>4401</v>
      </c>
      <c r="AA199" s="237" t="s">
        <v>3661</v>
      </c>
      <c r="AB199" s="236" t="s">
        <v>3264</v>
      </c>
      <c r="AH199"/>
      <c r="AI199"/>
    </row>
    <row r="200" spans="2:35">
      <c r="B200" s="240" t="str">
        <f t="shared" si="17"/>
        <v>Clip na wkręt euro H4</v>
      </c>
      <c r="M200" s="233" t="s">
        <v>92</v>
      </c>
      <c r="N200" s="191" t="s">
        <v>169</v>
      </c>
      <c r="O200" s="191" t="s">
        <v>230</v>
      </c>
      <c r="P200" s="191" t="s">
        <v>293</v>
      </c>
      <c r="Q200" s="191" t="s">
        <v>1579</v>
      </c>
      <c r="R200" s="390" t="s">
        <v>4034</v>
      </c>
      <c r="AA200" s="237" t="s">
        <v>3662</v>
      </c>
      <c r="AB200" s="236" t="s">
        <v>3265</v>
      </c>
      <c r="AH200"/>
      <c r="AI200"/>
    </row>
    <row r="201" spans="2:35">
      <c r="B201" s="240" t="str">
        <f t="shared" si="17"/>
        <v>Slide on na wkręt H2</v>
      </c>
      <c r="M201" s="233" t="s">
        <v>93</v>
      </c>
      <c r="N201" s="191" t="s">
        <v>170</v>
      </c>
      <c r="O201" s="191" t="s">
        <v>231</v>
      </c>
      <c r="P201" s="191" t="s">
        <v>294</v>
      </c>
      <c r="Q201" s="191" t="s">
        <v>1580</v>
      </c>
      <c r="R201" s="390" t="s">
        <v>4035</v>
      </c>
      <c r="AA201" s="237" t="s">
        <v>3663</v>
      </c>
      <c r="AB201" s="236" t="s">
        <v>3266</v>
      </c>
      <c r="AH201"/>
      <c r="AI201"/>
    </row>
    <row r="202" spans="2:35">
      <c r="B202" s="240" t="str">
        <f t="shared" si="17"/>
        <v>Slide on na wkręt H4</v>
      </c>
      <c r="M202" s="233" t="s">
        <v>94</v>
      </c>
      <c r="N202" s="191" t="s">
        <v>171</v>
      </c>
      <c r="O202" s="191" t="s">
        <v>232</v>
      </c>
      <c r="P202" s="191" t="s">
        <v>295</v>
      </c>
      <c r="Q202" s="191" t="s">
        <v>1581</v>
      </c>
      <c r="R202" s="390" t="s">
        <v>4036</v>
      </c>
      <c r="AA202" s="237" t="s">
        <v>3664</v>
      </c>
      <c r="AB202" s="236" t="s">
        <v>3267</v>
      </c>
      <c r="AH202"/>
      <c r="AI202"/>
    </row>
    <row r="203" spans="2:35">
      <c r="B203" s="240" t="str">
        <f t="shared" si="17"/>
        <v>Slide on na euro wkręt H2</v>
      </c>
      <c r="M203" s="233" t="s">
        <v>95</v>
      </c>
      <c r="N203" s="191" t="s">
        <v>172</v>
      </c>
      <c r="O203" s="191" t="s">
        <v>233</v>
      </c>
      <c r="P203" s="191" t="s">
        <v>296</v>
      </c>
      <c r="Q203" s="191" t="s">
        <v>1582</v>
      </c>
      <c r="R203" s="390" t="s">
        <v>4037</v>
      </c>
      <c r="AA203" s="237" t="s">
        <v>3665</v>
      </c>
      <c r="AB203" s="236" t="s">
        <v>3268</v>
      </c>
      <c r="AH203"/>
      <c r="AI203"/>
    </row>
    <row r="204" spans="2:35">
      <c r="B204" s="240" t="str">
        <f t="shared" si="17"/>
        <v>Slide on na euro wkręt H4</v>
      </c>
      <c r="M204" s="233" t="s">
        <v>96</v>
      </c>
      <c r="N204" s="191" t="s">
        <v>173</v>
      </c>
      <c r="O204" s="191" t="s">
        <v>234</v>
      </c>
      <c r="P204" s="191" t="s">
        <v>297</v>
      </c>
      <c r="Q204" s="191" t="s">
        <v>1583</v>
      </c>
      <c r="R204" s="390" t="s">
        <v>4038</v>
      </c>
      <c r="AA204" s="236" t="s">
        <v>3666</v>
      </c>
      <c r="AB204" s="267" t="s">
        <v>3269</v>
      </c>
      <c r="AH204"/>
      <c r="AI204"/>
    </row>
    <row r="205" spans="2:35">
      <c r="B205" s="240" t="str">
        <f t="shared" si="17"/>
        <v>Nakładany do Blumotion</v>
      </c>
      <c r="M205" s="233" t="s">
        <v>80</v>
      </c>
      <c r="N205" s="191" t="s">
        <v>174</v>
      </c>
      <c r="O205" s="191" t="s">
        <v>235</v>
      </c>
      <c r="P205" s="191" t="s">
        <v>298</v>
      </c>
      <c r="Q205" s="191" t="s">
        <v>1584</v>
      </c>
      <c r="R205" s="390" t="s">
        <v>4039</v>
      </c>
      <c r="AA205" s="237" t="s">
        <v>3667</v>
      </c>
      <c r="AB205" s="236" t="s">
        <v>3270</v>
      </c>
      <c r="AH205"/>
      <c r="AI205"/>
    </row>
    <row r="206" spans="2:35">
      <c r="B206" s="240" t="str">
        <f t="shared" si="17"/>
        <v>Półnakładany ze zintegrowanym Blumotionem</v>
      </c>
      <c r="M206" s="233" t="s">
        <v>434</v>
      </c>
      <c r="N206" s="191" t="s">
        <v>473</v>
      </c>
      <c r="O206" s="191" t="s">
        <v>1420</v>
      </c>
      <c r="P206" s="191" t="s">
        <v>484</v>
      </c>
      <c r="Q206" s="191" t="s">
        <v>1585</v>
      </c>
      <c r="R206" s="390" t="s">
        <v>4040</v>
      </c>
      <c r="AA206" s="236" t="s">
        <v>3668</v>
      </c>
      <c r="AB206" s="236" t="s">
        <v>3271</v>
      </c>
      <c r="AH206"/>
      <c r="AI206"/>
    </row>
    <row r="207" spans="2:35">
      <c r="B207" s="240" t="str">
        <f t="shared" si="17"/>
        <v>Wpuszczany ze zintegrowanym Blumotionem</v>
      </c>
      <c r="M207" s="233" t="s">
        <v>435</v>
      </c>
      <c r="N207" s="191" t="s">
        <v>474</v>
      </c>
      <c r="O207" s="191" t="s">
        <v>1421</v>
      </c>
      <c r="P207" s="191" t="s">
        <v>1366</v>
      </c>
      <c r="Q207" s="191" t="s">
        <v>1586</v>
      </c>
      <c r="R207" s="390" t="s">
        <v>4041</v>
      </c>
      <c r="AA207" s="236" t="s">
        <v>3669</v>
      </c>
      <c r="AB207" s="236" t="s">
        <v>3320</v>
      </c>
      <c r="AH207"/>
      <c r="AI207"/>
    </row>
    <row r="208" spans="2:35">
      <c r="B208" s="240" t="str">
        <f t="shared" si="17"/>
        <v>45° clip nakładany</v>
      </c>
      <c r="M208" s="191" t="s">
        <v>82</v>
      </c>
      <c r="N208" s="191" t="s">
        <v>175</v>
      </c>
      <c r="O208" s="191" t="s">
        <v>236</v>
      </c>
      <c r="P208" s="191" t="s">
        <v>299</v>
      </c>
      <c r="Q208" s="191" t="s">
        <v>1587</v>
      </c>
      <c r="R208" s="390" t="s">
        <v>4042</v>
      </c>
      <c r="AA208" s="236" t="s">
        <v>3670</v>
      </c>
      <c r="AB208" s="267" t="s">
        <v>3318</v>
      </c>
      <c r="AH208"/>
      <c r="AI208"/>
    </row>
    <row r="209" spans="2:35">
      <c r="B209" s="240" t="str">
        <f t="shared" si="17"/>
        <v>45° clip półnakładany</v>
      </c>
      <c r="M209" s="191" t="s">
        <v>81</v>
      </c>
      <c r="N209" s="191" t="s">
        <v>81</v>
      </c>
      <c r="O209" s="191" t="s">
        <v>237</v>
      </c>
      <c r="P209" s="191" t="s">
        <v>1367</v>
      </c>
      <c r="Q209" s="191" t="s">
        <v>1588</v>
      </c>
      <c r="R209" s="390" t="s">
        <v>4043</v>
      </c>
      <c r="AA209" s="236" t="s">
        <v>3671</v>
      </c>
      <c r="AB209" s="267" t="s">
        <v>3272</v>
      </c>
      <c r="AH209"/>
      <c r="AI209"/>
    </row>
    <row r="210" spans="2:35">
      <c r="B210" s="240" t="str">
        <f t="shared" si="17"/>
        <v xml:space="preserve">Nakładany bez sprężyny </v>
      </c>
      <c r="M210" s="191" t="s">
        <v>74</v>
      </c>
      <c r="N210" s="191" t="s">
        <v>74</v>
      </c>
      <c r="O210" s="191" t="s">
        <v>238</v>
      </c>
      <c r="P210" s="191" t="s">
        <v>300</v>
      </c>
      <c r="Q210" s="191" t="s">
        <v>1589</v>
      </c>
      <c r="R210" s="390" t="s">
        <v>4044</v>
      </c>
      <c r="AA210" s="236" t="s">
        <v>3672</v>
      </c>
      <c r="AB210" s="236" t="s">
        <v>3273</v>
      </c>
      <c r="AH210"/>
      <c r="AI210"/>
    </row>
    <row r="211" spans="2:35">
      <c r="B211" s="240" t="str">
        <f t="shared" si="17"/>
        <v>Nakładany bez sprężyny (TIP-ON)</v>
      </c>
      <c r="M211" s="191" t="s">
        <v>83</v>
      </c>
      <c r="N211" s="191" t="s">
        <v>176</v>
      </c>
      <c r="O211" s="191" t="s">
        <v>239</v>
      </c>
      <c r="P211" s="191" t="s">
        <v>301</v>
      </c>
      <c r="Q211" s="191" t="s">
        <v>1590</v>
      </c>
      <c r="R211" s="390" t="s">
        <v>4045</v>
      </c>
      <c r="AA211" s="236" t="s">
        <v>3673</v>
      </c>
      <c r="AB211" s="236" t="s">
        <v>3274</v>
      </c>
      <c r="AH211"/>
      <c r="AI211"/>
    </row>
    <row r="212" spans="2:35">
      <c r="B212" s="240" t="str">
        <f t="shared" si="17"/>
        <v xml:space="preserve">Clip na wkręt euro </v>
      </c>
      <c r="M212" s="191" t="s">
        <v>85</v>
      </c>
      <c r="N212" s="191" t="s">
        <v>177</v>
      </c>
      <c r="O212" s="191" t="s">
        <v>240</v>
      </c>
      <c r="P212" s="191" t="s">
        <v>302</v>
      </c>
      <c r="Q212" s="191" t="s">
        <v>1591</v>
      </c>
      <c r="R212" s="390" t="s">
        <v>4046</v>
      </c>
      <c r="AA212" s="236" t="s">
        <v>3674</v>
      </c>
      <c r="AB212" s="267" t="s">
        <v>2705</v>
      </c>
      <c r="AH212"/>
      <c r="AI212"/>
    </row>
    <row r="213" spans="2:35">
      <c r="B213" s="240" t="str">
        <f t="shared" si="17"/>
        <v>Clip na wkręt</v>
      </c>
      <c r="M213" s="191" t="s">
        <v>84</v>
      </c>
      <c r="N213" s="191" t="s">
        <v>178</v>
      </c>
      <c r="O213" s="191" t="s">
        <v>241</v>
      </c>
      <c r="P213" s="191" t="s">
        <v>303</v>
      </c>
      <c r="Q213" s="191" t="s">
        <v>1592</v>
      </c>
      <c r="R213" s="390" t="s">
        <v>4047</v>
      </c>
      <c r="AA213" s="236" t="s">
        <v>3675</v>
      </c>
      <c r="AB213" s="267" t="s">
        <v>3319</v>
      </c>
      <c r="AH213"/>
      <c r="AI213"/>
    </row>
    <row r="214" spans="2:35">
      <c r="B214" s="240" t="str">
        <f t="shared" si="17"/>
        <v>Podwyższenie o 6mm</v>
      </c>
      <c r="M214" s="191" t="s">
        <v>86</v>
      </c>
      <c r="N214" s="191" t="s">
        <v>179</v>
      </c>
      <c r="O214" s="191" t="s">
        <v>1422</v>
      </c>
      <c r="P214" s="191" t="s">
        <v>304</v>
      </c>
      <c r="Q214" s="191" t="s">
        <v>992</v>
      </c>
      <c r="R214" s="390" t="s">
        <v>4048</v>
      </c>
      <c r="AA214" s="236" t="s">
        <v>3676</v>
      </c>
      <c r="AB214" s="267" t="s">
        <v>3275</v>
      </c>
      <c r="AH214"/>
      <c r="AI214"/>
    </row>
    <row r="215" spans="2:35">
      <c r="B215" s="240" t="str">
        <f t="shared" si="17"/>
        <v>45° clip</v>
      </c>
      <c r="M215" s="191" t="s">
        <v>0</v>
      </c>
      <c r="N215" s="191" t="s">
        <v>180</v>
      </c>
      <c r="O215" s="191" t="s">
        <v>0</v>
      </c>
      <c r="P215" s="191" t="s">
        <v>1368</v>
      </c>
      <c r="Q215" s="191" t="s">
        <v>1593</v>
      </c>
      <c r="R215" s="390" t="s">
        <v>4049</v>
      </c>
      <c r="AA215" s="236" t="s">
        <v>3677</v>
      </c>
      <c r="AB215" s="267" t="s">
        <v>3276</v>
      </c>
      <c r="AH215"/>
      <c r="AI215"/>
    </row>
    <row r="216" spans="2:35">
      <c r="B216" s="240" t="str">
        <f t="shared" si="17"/>
        <v xml:space="preserve">Clip na wkręt euro H0 </v>
      </c>
      <c r="M216" s="191" t="s">
        <v>88</v>
      </c>
      <c r="N216" s="191" t="s">
        <v>181</v>
      </c>
      <c r="O216" s="191" t="s">
        <v>242</v>
      </c>
      <c r="P216" s="191" t="s">
        <v>305</v>
      </c>
      <c r="Q216" s="191" t="s">
        <v>1594</v>
      </c>
      <c r="R216" s="390" t="s">
        <v>4050</v>
      </c>
      <c r="AA216" s="236" t="s">
        <v>3678</v>
      </c>
      <c r="AB216" s="267" t="s">
        <v>3277</v>
      </c>
      <c r="AH216"/>
      <c r="AI216"/>
    </row>
    <row r="217" spans="2:35">
      <c r="B217" s="240" t="str">
        <f t="shared" si="17"/>
        <v>Clip na wkręt H0</v>
      </c>
      <c r="M217" s="191" t="s">
        <v>87</v>
      </c>
      <c r="N217" s="191" t="s">
        <v>182</v>
      </c>
      <c r="O217" s="191" t="s">
        <v>243</v>
      </c>
      <c r="P217" s="191" t="s">
        <v>306</v>
      </c>
      <c r="Q217" s="191" t="s">
        <v>1595</v>
      </c>
      <c r="R217" s="390" t="s">
        <v>4051</v>
      </c>
      <c r="AA217" s="236" t="s">
        <v>3679</v>
      </c>
      <c r="AB217" s="267" t="s">
        <v>3278</v>
      </c>
      <c r="AH217"/>
      <c r="AI217"/>
    </row>
    <row r="218" spans="2:35">
      <c r="B218" s="240" t="str">
        <f t="shared" si="17"/>
        <v>Wybierz pozycję ramki</v>
      </c>
      <c r="M218" s="191" t="s">
        <v>106</v>
      </c>
      <c r="N218" s="191" t="s">
        <v>183</v>
      </c>
      <c r="O218" s="191" t="s">
        <v>1423</v>
      </c>
      <c r="P218" s="191" t="s">
        <v>307</v>
      </c>
      <c r="Q218" s="191" t="s">
        <v>1471</v>
      </c>
      <c r="R218" s="390" t="s">
        <v>4052</v>
      </c>
      <c r="AA218" s="235" t="s">
        <v>3680</v>
      </c>
      <c r="AB218" s="267" t="s">
        <v>3279</v>
      </c>
      <c r="AH218"/>
      <c r="AI218"/>
    </row>
    <row r="219" spans="2:35">
      <c r="B219" s="240" t="str">
        <f t="shared" si="17"/>
        <v>Marka zawiasu</v>
      </c>
      <c r="M219" s="191" t="s">
        <v>97</v>
      </c>
      <c r="N219" s="191" t="s">
        <v>184</v>
      </c>
      <c r="O219" s="191" t="s">
        <v>244</v>
      </c>
      <c r="P219" s="191" t="s">
        <v>308</v>
      </c>
      <c r="Q219" s="191" t="s">
        <v>1472</v>
      </c>
      <c r="R219" s="390" t="s">
        <v>4053</v>
      </c>
      <c r="AA219" s="75" t="s">
        <v>3681</v>
      </c>
      <c r="AB219" s="243" t="s">
        <v>3280</v>
      </c>
      <c r="AH219"/>
      <c r="AI219"/>
    </row>
    <row r="220" spans="2:35">
      <c r="B220" s="240" t="str">
        <f t="shared" si="17"/>
        <v>Rodzaj zawiasu</v>
      </c>
      <c r="M220" s="191" t="s">
        <v>98</v>
      </c>
      <c r="N220" s="191" t="s">
        <v>185</v>
      </c>
      <c r="O220" s="191" t="s">
        <v>245</v>
      </c>
      <c r="P220" s="191" t="s">
        <v>309</v>
      </c>
      <c r="Q220" s="191" t="s">
        <v>1596</v>
      </c>
      <c r="R220" s="390" t="s">
        <v>4054</v>
      </c>
      <c r="AA220" s="75" t="s">
        <v>3682</v>
      </c>
      <c r="AB220" s="243" t="s">
        <v>3281</v>
      </c>
      <c r="AH220"/>
      <c r="AI220"/>
    </row>
    <row r="221" spans="2:35">
      <c r="B221" s="240" t="str">
        <f t="shared" si="17"/>
        <v>Rodzaj Aventosu</v>
      </c>
      <c r="M221" s="233" t="s">
        <v>99</v>
      </c>
      <c r="N221" s="191" t="s">
        <v>99</v>
      </c>
      <c r="O221" s="191" t="s">
        <v>246</v>
      </c>
      <c r="P221" s="191" t="s">
        <v>1369</v>
      </c>
      <c r="Q221" s="191" t="s">
        <v>1597</v>
      </c>
      <c r="R221" s="390" t="s">
        <v>4055</v>
      </c>
      <c r="AA221" s="243" t="s">
        <v>3683</v>
      </c>
      <c r="AB221" s="243" t="s">
        <v>3282</v>
      </c>
      <c r="AH221"/>
      <c r="AI221"/>
    </row>
    <row r="222" spans="2:35">
      <c r="B222" s="240" t="str">
        <f t="shared" si="17"/>
        <v>Rodzaj prowadnika</v>
      </c>
      <c r="M222" s="233" t="s">
        <v>100</v>
      </c>
      <c r="N222" s="191" t="s">
        <v>100</v>
      </c>
      <c r="O222" s="191" t="s">
        <v>247</v>
      </c>
      <c r="P222" s="191" t="s">
        <v>310</v>
      </c>
      <c r="Q222" s="191" t="s">
        <v>1598</v>
      </c>
      <c r="R222" s="390" t="s">
        <v>4056</v>
      </c>
      <c r="AA222" s="243" t="s">
        <v>3684</v>
      </c>
      <c r="AB222" s="243" t="s">
        <v>2736</v>
      </c>
      <c r="AH222"/>
      <c r="AI222"/>
    </row>
    <row r="223" spans="2:35">
      <c r="B223" s="240" t="str">
        <f t="shared" si="17"/>
        <v>Ilość zawiasów na 1 ramkę</v>
      </c>
      <c r="M223" s="233" t="s">
        <v>2458</v>
      </c>
      <c r="N223" s="191" t="s">
        <v>186</v>
      </c>
      <c r="O223" s="191" t="s">
        <v>248</v>
      </c>
      <c r="P223" s="191" t="s">
        <v>311</v>
      </c>
      <c r="Q223" s="191" t="s">
        <v>1473</v>
      </c>
      <c r="R223" s="390" t="s">
        <v>4057</v>
      </c>
      <c r="AA223" s="243" t="s">
        <v>3685</v>
      </c>
      <c r="AB223" s="243" t="s">
        <v>3283</v>
      </c>
      <c r="AH223"/>
      <c r="AI223"/>
    </row>
    <row r="224" spans="2:35">
      <c r="B224" s="240" t="str">
        <f t="shared" si="17"/>
        <v>Podnośniki gazowe</v>
      </c>
      <c r="M224" s="233" t="s">
        <v>102</v>
      </c>
      <c r="N224" s="191" t="s">
        <v>187</v>
      </c>
      <c r="O224" s="191" t="s">
        <v>249</v>
      </c>
      <c r="P224" s="191" t="s">
        <v>1370</v>
      </c>
      <c r="Q224" s="191" t="s">
        <v>1599</v>
      </c>
      <c r="R224" s="390" t="s">
        <v>4058</v>
      </c>
      <c r="AA224" s="243" t="s">
        <v>3686</v>
      </c>
      <c r="AB224" s="243" t="s">
        <v>3321</v>
      </c>
      <c r="AH224"/>
      <c r="AI224"/>
    </row>
    <row r="225" spans="2:35">
      <c r="B225" s="240" t="str">
        <f t="shared" si="17"/>
        <v>Dostarczyć łącznie z podanymi okuciami meblowymi</v>
      </c>
      <c r="M225" s="233" t="s">
        <v>101</v>
      </c>
      <c r="N225" s="191" t="s">
        <v>188</v>
      </c>
      <c r="O225" s="191" t="s">
        <v>276</v>
      </c>
      <c r="P225" s="191" t="s">
        <v>1371</v>
      </c>
      <c r="Q225" s="191" t="s">
        <v>1474</v>
      </c>
      <c r="R225" s="390" t="s">
        <v>4059</v>
      </c>
      <c r="AA225" s="390" t="s">
        <v>3909</v>
      </c>
      <c r="AB225" s="236" t="s">
        <v>3545</v>
      </c>
      <c r="AH225"/>
      <c r="AI225"/>
    </row>
    <row r="226" spans="2:35">
      <c r="B226" s="240" t="str">
        <f t="shared" si="17"/>
        <v>Umieszczenie</v>
      </c>
      <c r="M226" s="233" t="s">
        <v>2237</v>
      </c>
      <c r="N226" s="191" t="s">
        <v>2238</v>
      </c>
      <c r="O226" s="191" t="s">
        <v>2239</v>
      </c>
      <c r="P226" s="191" t="s">
        <v>2241</v>
      </c>
      <c r="Q226" s="191" t="s">
        <v>2240</v>
      </c>
      <c r="R226" s="390" t="s">
        <v>4060</v>
      </c>
      <c r="AA226" s="390" t="s">
        <v>3910</v>
      </c>
      <c r="AB226" s="236" t="s">
        <v>3546</v>
      </c>
      <c r="AH226"/>
      <c r="AI226"/>
    </row>
    <row r="227" spans="2:35">
      <c r="B227" s="240" t="str">
        <f t="shared" si="17"/>
        <v>W górę</v>
      </c>
      <c r="M227" s="233" t="s">
        <v>113</v>
      </c>
      <c r="N227" s="191" t="s">
        <v>1241</v>
      </c>
      <c r="O227" s="191" t="s">
        <v>1239</v>
      </c>
      <c r="P227" s="191" t="s">
        <v>1240</v>
      </c>
      <c r="Q227" s="191" t="s">
        <v>1475</v>
      </c>
      <c r="R227" s="390" t="s">
        <v>4061</v>
      </c>
      <c r="AA227" s="390" t="s">
        <v>3911</v>
      </c>
      <c r="AB227" s="236" t="s">
        <v>3547</v>
      </c>
      <c r="AH227"/>
      <c r="AI227"/>
    </row>
    <row r="228" spans="2:35">
      <c r="B228" s="240" t="str">
        <f t="shared" si="17"/>
        <v>W dół</v>
      </c>
      <c r="M228" s="233" t="s">
        <v>114</v>
      </c>
      <c r="N228" s="191" t="s">
        <v>114</v>
      </c>
      <c r="O228" s="191" t="s">
        <v>1424</v>
      </c>
      <c r="P228" s="191" t="s">
        <v>1242</v>
      </c>
      <c r="Q228" s="191" t="s">
        <v>1002</v>
      </c>
      <c r="R228" s="390" t="s">
        <v>4062</v>
      </c>
      <c r="AA228" s="390" t="s">
        <v>3912</v>
      </c>
      <c r="AB228" s="236" t="s">
        <v>3589</v>
      </c>
      <c r="AH228"/>
      <c r="AI228"/>
    </row>
    <row r="229" spans="2:35">
      <c r="B229" s="240" t="str">
        <f t="shared" si="17"/>
        <v>W prawo</v>
      </c>
      <c r="M229" s="233" t="s">
        <v>104</v>
      </c>
      <c r="N229" s="191" t="s">
        <v>189</v>
      </c>
      <c r="O229" s="191" t="s">
        <v>250</v>
      </c>
      <c r="P229" s="191" t="s">
        <v>312</v>
      </c>
      <c r="Q229" s="191" t="s">
        <v>993</v>
      </c>
      <c r="R229" s="390" t="s">
        <v>4063</v>
      </c>
      <c r="AA229" s="390" t="s">
        <v>3913</v>
      </c>
      <c r="AB229" s="236" t="s">
        <v>3548</v>
      </c>
      <c r="AH229"/>
      <c r="AI229"/>
    </row>
    <row r="230" spans="2:35">
      <c r="B230" s="240" t="str">
        <f t="shared" si="17"/>
        <v>W lewo</v>
      </c>
      <c r="M230" s="233" t="s">
        <v>103</v>
      </c>
      <c r="N230" s="191" t="s">
        <v>190</v>
      </c>
      <c r="O230" s="191" t="s">
        <v>251</v>
      </c>
      <c r="P230" s="191" t="s">
        <v>313</v>
      </c>
      <c r="Q230" s="191" t="s">
        <v>994</v>
      </c>
      <c r="R230" s="390" t="s">
        <v>4064</v>
      </c>
      <c r="AA230" s="390" t="s">
        <v>3914</v>
      </c>
      <c r="AB230" s="236" t="s">
        <v>3549</v>
      </c>
      <c r="AH230"/>
      <c r="AI230"/>
    </row>
    <row r="231" spans="2:35">
      <c r="B231" s="240" t="str">
        <f t="shared" si="17"/>
        <v>2 sztuki (obydwie strony)</v>
      </c>
      <c r="M231" s="233" t="s">
        <v>105</v>
      </c>
      <c r="N231" s="191" t="s">
        <v>191</v>
      </c>
      <c r="O231" s="191" t="s">
        <v>252</v>
      </c>
      <c r="P231" s="191" t="s">
        <v>314</v>
      </c>
      <c r="Q231" s="191" t="s">
        <v>995</v>
      </c>
      <c r="R231" s="390" t="s">
        <v>4065</v>
      </c>
      <c r="AA231" s="390" t="s">
        <v>3915</v>
      </c>
      <c r="AB231" s="236" t="s">
        <v>3550</v>
      </c>
      <c r="AH231"/>
      <c r="AI231"/>
    </row>
    <row r="232" spans="2:35">
      <c r="B232" s="240" t="str">
        <f t="shared" si="17"/>
        <v>Rodzaj drugiej ramki</v>
      </c>
      <c r="M232" s="233" t="s">
        <v>117</v>
      </c>
      <c r="N232" s="191" t="s">
        <v>192</v>
      </c>
      <c r="O232" s="191" t="s">
        <v>275</v>
      </c>
      <c r="P232" s="191" t="s">
        <v>1372</v>
      </c>
      <c r="Q232" s="191" t="s">
        <v>1600</v>
      </c>
      <c r="R232" s="390" t="s">
        <v>4066</v>
      </c>
      <c r="AA232" s="390" t="s">
        <v>3916</v>
      </c>
      <c r="AB232" s="237" t="s">
        <v>3696</v>
      </c>
      <c r="AH232"/>
      <c r="AI232"/>
    </row>
    <row r="233" spans="2:35">
      <c r="B233" s="240" t="str">
        <f t="shared" si="17"/>
        <v>Wąska ALU ramka</v>
      </c>
      <c r="M233" s="233" t="s">
        <v>107</v>
      </c>
      <c r="N233" s="191" t="s">
        <v>193</v>
      </c>
      <c r="O233" s="191" t="s">
        <v>253</v>
      </c>
      <c r="P233" s="191" t="s">
        <v>315</v>
      </c>
      <c r="Q233" s="191" t="s">
        <v>1476</v>
      </c>
      <c r="R233" s="390" t="s">
        <v>4067</v>
      </c>
      <c r="AA233" s="390" t="s">
        <v>3917</v>
      </c>
      <c r="AB233" s="236" t="s">
        <v>3551</v>
      </c>
      <c r="AH233"/>
      <c r="AI233"/>
    </row>
    <row r="234" spans="2:35">
      <c r="B234" s="240" t="str">
        <f t="shared" ref="B234:B297" si="18">IF($D$1=1,M234,IF($D$1=2,N234,IF($D$1=3,O234,IF($D$1=4,P234,IF($D$1=5,Q234,IF($D$1=6,R234,0))))))</f>
        <v>Szeroka ALU ramka</v>
      </c>
      <c r="M234" s="233" t="s">
        <v>108</v>
      </c>
      <c r="N234" s="191" t="s">
        <v>194</v>
      </c>
      <c r="O234" s="191" t="s">
        <v>254</v>
      </c>
      <c r="P234" s="191" t="s">
        <v>316</v>
      </c>
      <c r="Q234" s="191" t="s">
        <v>1477</v>
      </c>
      <c r="R234" s="390" t="s">
        <v>4068</v>
      </c>
      <c r="AA234" s="390" t="s">
        <v>3918</v>
      </c>
      <c r="AB234" s="236" t="s">
        <v>3552</v>
      </c>
      <c r="AH234"/>
      <c r="AI234"/>
    </row>
    <row r="235" spans="2:35">
      <c r="B235" s="240" t="str">
        <f t="shared" si="18"/>
        <v>MDF grubość 16mm</v>
      </c>
      <c r="M235" s="233" t="s">
        <v>110</v>
      </c>
      <c r="N235" s="191" t="s">
        <v>195</v>
      </c>
      <c r="O235" s="191" t="s">
        <v>255</v>
      </c>
      <c r="P235" s="191" t="s">
        <v>317</v>
      </c>
      <c r="Q235" s="191" t="s">
        <v>1601</v>
      </c>
      <c r="R235" s="390" t="s">
        <v>4069</v>
      </c>
      <c r="AA235" s="390" t="s">
        <v>3919</v>
      </c>
      <c r="AB235" s="236" t="s">
        <v>3553</v>
      </c>
      <c r="AH235"/>
      <c r="AI235"/>
    </row>
    <row r="236" spans="2:35">
      <c r="B236" s="240" t="str">
        <f t="shared" si="18"/>
        <v>MDF grubość 18mm</v>
      </c>
      <c r="M236" s="233" t="s">
        <v>109</v>
      </c>
      <c r="N236" s="191" t="s">
        <v>196</v>
      </c>
      <c r="O236" s="191" t="s">
        <v>256</v>
      </c>
      <c r="P236" s="191" t="s">
        <v>318</v>
      </c>
      <c r="Q236" s="191" t="s">
        <v>1602</v>
      </c>
      <c r="R236" s="390" t="s">
        <v>4070</v>
      </c>
      <c r="AA236" s="390" t="s">
        <v>3920</v>
      </c>
      <c r="AB236" s="236" t="s">
        <v>3593</v>
      </c>
      <c r="AH236"/>
      <c r="AI236"/>
    </row>
    <row r="237" spans="2:35">
      <c r="B237" s="240" t="str">
        <f t="shared" si="18"/>
        <v>Płyta melaminowana grubość 18mm</v>
      </c>
      <c r="M237" s="233" t="s">
        <v>111</v>
      </c>
      <c r="N237" s="191" t="s">
        <v>197</v>
      </c>
      <c r="O237" s="191" t="s">
        <v>1425</v>
      </c>
      <c r="P237" s="191" t="s">
        <v>1373</v>
      </c>
      <c r="Q237" s="191" t="s">
        <v>1051</v>
      </c>
      <c r="R237" s="390" t="s">
        <v>4071</v>
      </c>
      <c r="AA237" s="390" t="s">
        <v>3921</v>
      </c>
      <c r="AB237" s="236" t="s">
        <v>3597</v>
      </c>
      <c r="AH237"/>
      <c r="AI237"/>
    </row>
    <row r="238" spans="2:35">
      <c r="B238" s="240" t="str">
        <f t="shared" si="18"/>
        <v>Umieszczenie zawiasu</v>
      </c>
      <c r="M238" s="233" t="s">
        <v>112</v>
      </c>
      <c r="N238" s="191" t="s">
        <v>198</v>
      </c>
      <c r="O238" s="191" t="s">
        <v>257</v>
      </c>
      <c r="P238" s="191" t="s">
        <v>319</v>
      </c>
      <c r="Q238" s="191" t="s">
        <v>1478</v>
      </c>
      <c r="R238" s="390" t="s">
        <v>4072</v>
      </c>
      <c r="AA238" s="390" t="s">
        <v>3922</v>
      </c>
      <c r="AB238" s="236" t="s">
        <v>3601</v>
      </c>
      <c r="AH238"/>
      <c r="AI238"/>
    </row>
    <row r="239" spans="2:35">
      <c r="B239" s="240" t="str">
        <f t="shared" si="18"/>
        <v>W górę</v>
      </c>
      <c r="M239" s="233" t="s">
        <v>113</v>
      </c>
      <c r="N239" s="191" t="s">
        <v>199</v>
      </c>
      <c r="O239" s="191" t="s">
        <v>1239</v>
      </c>
      <c r="P239" s="191" t="s">
        <v>1240</v>
      </c>
      <c r="Q239" s="191" t="s">
        <v>1475</v>
      </c>
      <c r="R239" s="390" t="s">
        <v>4061</v>
      </c>
      <c r="AA239" s="390" t="s">
        <v>3923</v>
      </c>
      <c r="AB239" s="236" t="s">
        <v>3554</v>
      </c>
      <c r="AH239"/>
      <c r="AI239"/>
    </row>
    <row r="240" spans="2:35">
      <c r="B240" s="240" t="str">
        <f t="shared" si="18"/>
        <v>W dół</v>
      </c>
      <c r="M240" s="233" t="s">
        <v>114</v>
      </c>
      <c r="N240" s="191" t="s">
        <v>114</v>
      </c>
      <c r="O240" s="191" t="s">
        <v>1424</v>
      </c>
      <c r="P240" s="191" t="s">
        <v>1242</v>
      </c>
      <c r="Q240" s="191" t="s">
        <v>1002</v>
      </c>
      <c r="R240" s="390" t="s">
        <v>4062</v>
      </c>
      <c r="AA240" s="390" t="s">
        <v>3924</v>
      </c>
      <c r="AB240" s="236" t="s">
        <v>3555</v>
      </c>
      <c r="AH240"/>
      <c r="AI240"/>
    </row>
    <row r="241" spans="2:35">
      <c r="B241" s="240" t="str">
        <f t="shared" si="18"/>
        <v>wybierz z listy</v>
      </c>
      <c r="M241" s="233" t="s">
        <v>3820</v>
      </c>
      <c r="N241" s="191" t="s">
        <v>3821</v>
      </c>
      <c r="O241" s="191" t="s">
        <v>3822</v>
      </c>
      <c r="P241" s="191" t="s">
        <v>3823</v>
      </c>
      <c r="Q241" s="191" t="s">
        <v>3824</v>
      </c>
      <c r="R241" s="390" t="s">
        <v>4073</v>
      </c>
      <c r="AA241" s="390" t="s">
        <v>3925</v>
      </c>
      <c r="AB241" s="236" t="s">
        <v>3556</v>
      </c>
      <c r="AH241"/>
      <c r="AI241"/>
    </row>
    <row r="242" spans="2:35">
      <c r="B242" s="240" t="str">
        <f t="shared" si="18"/>
        <v>Odległość od krawędzi</v>
      </c>
      <c r="M242" s="233" t="s">
        <v>2324</v>
      </c>
      <c r="N242" s="191" t="s">
        <v>2325</v>
      </c>
      <c r="O242" s="191" t="s">
        <v>1243</v>
      </c>
      <c r="P242" s="191" t="s">
        <v>1244</v>
      </c>
      <c r="Q242" s="191" t="s">
        <v>1479</v>
      </c>
      <c r="R242" s="390" t="s">
        <v>4074</v>
      </c>
      <c r="AA242" s="390" t="s">
        <v>3926</v>
      </c>
      <c r="AB242" s="236" t="s">
        <v>3557</v>
      </c>
      <c r="AH242"/>
      <c r="AI242"/>
    </row>
    <row r="243" spans="2:35">
      <c r="B243" s="240" t="str">
        <f t="shared" si="18"/>
        <v>Odległość zawiasu od krawędzi</v>
      </c>
      <c r="M243" s="233" t="s">
        <v>118</v>
      </c>
      <c r="N243" s="191" t="s">
        <v>200</v>
      </c>
      <c r="O243" s="191" t="s">
        <v>258</v>
      </c>
      <c r="P243" s="191" t="s">
        <v>320</v>
      </c>
      <c r="Q243" s="191" t="s">
        <v>1603</v>
      </c>
      <c r="R243" s="390" t="s">
        <v>4075</v>
      </c>
      <c r="AA243" s="390" t="s">
        <v>3927</v>
      </c>
      <c r="AB243" s="237" t="s">
        <v>3605</v>
      </c>
      <c r="AH243"/>
      <c r="AI243"/>
    </row>
    <row r="244" spans="2:35">
      <c r="B244" s="240" t="str">
        <f t="shared" si="18"/>
        <v>Wpisz wartość jeśli wiercenie nie ma być wykonane symetrycznie (na środku )</v>
      </c>
      <c r="M244" s="233" t="s">
        <v>119</v>
      </c>
      <c r="N244" s="191" t="s">
        <v>201</v>
      </c>
      <c r="O244" s="191" t="s">
        <v>963</v>
      </c>
      <c r="P244" s="191" t="s">
        <v>321</v>
      </c>
      <c r="Q244" s="191" t="s">
        <v>1604</v>
      </c>
      <c r="R244" s="390" t="s">
        <v>4076</v>
      </c>
      <c r="AA244" s="390" t="s">
        <v>3928</v>
      </c>
      <c r="AB244" s="236" t="s">
        <v>3558</v>
      </c>
      <c r="AH244"/>
      <c r="AI244"/>
    </row>
    <row r="245" spans="2:35">
      <c r="B245" s="240" t="str">
        <f t="shared" si="18"/>
        <v>Formularz zamówienia ramek aluminiowych</v>
      </c>
      <c r="M245" s="233" t="s">
        <v>120</v>
      </c>
      <c r="N245" s="191" t="s">
        <v>202</v>
      </c>
      <c r="O245" s="191" t="s">
        <v>259</v>
      </c>
      <c r="P245" s="191" t="s">
        <v>375</v>
      </c>
      <c r="Q245" s="191" t="s">
        <v>1605</v>
      </c>
      <c r="R245" s="390" t="s">
        <v>4077</v>
      </c>
      <c r="AA245" s="390" t="s">
        <v>3929</v>
      </c>
      <c r="AB245" s="236" t="s">
        <v>3559</v>
      </c>
      <c r="AH245"/>
      <c r="AI245"/>
    </row>
    <row r="246" spans="2:35">
      <c r="B246" s="240" t="str">
        <f t="shared" si="18"/>
        <v>Formularz należy wypełniać od góry do dołu. Po ewentualnej zmianie proszę skontrolować poprawność wprowadzonych danych.</v>
      </c>
      <c r="M246" s="233" t="s">
        <v>154</v>
      </c>
      <c r="N246" s="191" t="s">
        <v>209</v>
      </c>
      <c r="O246" s="191" t="s">
        <v>260</v>
      </c>
      <c r="P246" s="191" t="s">
        <v>1374</v>
      </c>
      <c r="Q246" s="191" t="s">
        <v>1606</v>
      </c>
      <c r="R246" s="390" t="s">
        <v>4078</v>
      </c>
      <c r="AA246" s="390" t="s">
        <v>3932</v>
      </c>
      <c r="AB246" s="236" t="s">
        <v>3562</v>
      </c>
      <c r="AH246"/>
      <c r="AI246"/>
    </row>
    <row r="247" spans="2:35">
      <c r="B247" s="240" t="str">
        <f t="shared" si="18"/>
        <v>Ceny obowiązują od 27.1.2026/Wersja 7.5</v>
      </c>
      <c r="M247" s="233" t="s">
        <v>4619</v>
      </c>
      <c r="N247" s="191" t="s">
        <v>4620</v>
      </c>
      <c r="O247" s="191" t="s">
        <v>4621</v>
      </c>
      <c r="P247" s="191" t="s">
        <v>4622</v>
      </c>
      <c r="Q247" s="191" t="s">
        <v>4623</v>
      </c>
      <c r="R247" s="390" t="s">
        <v>4624</v>
      </c>
      <c r="AA247" s="390" t="s">
        <v>3933</v>
      </c>
      <c r="AB247" s="236" t="s">
        <v>3609</v>
      </c>
      <c r="AH247"/>
      <c r="AI247"/>
    </row>
    <row r="248" spans="2:35">
      <c r="B248" s="240" t="str">
        <f t="shared" si="18"/>
        <v>Suma</v>
      </c>
      <c r="M248" s="233" t="s">
        <v>15</v>
      </c>
      <c r="N248" s="191" t="s">
        <v>203</v>
      </c>
      <c r="O248" s="191" t="s">
        <v>261</v>
      </c>
      <c r="P248" s="191" t="s">
        <v>322</v>
      </c>
      <c r="Q248" s="191" t="s">
        <v>1480</v>
      </c>
      <c r="R248" s="390" t="s">
        <v>4079</v>
      </c>
      <c r="AA248" s="390" t="s">
        <v>3934</v>
      </c>
      <c r="AB248" s="237" t="s">
        <v>3613</v>
      </c>
      <c r="AH248"/>
      <c r="AI248"/>
    </row>
    <row r="249" spans="2:35">
      <c r="B249" s="240" t="str">
        <f t="shared" si="18"/>
        <v>Klient</v>
      </c>
      <c r="M249" s="233" t="s">
        <v>122</v>
      </c>
      <c r="N249" s="191" t="s">
        <v>122</v>
      </c>
      <c r="O249" s="191" t="s">
        <v>262</v>
      </c>
      <c r="P249" s="191" t="s">
        <v>323</v>
      </c>
      <c r="Q249" s="191" t="s">
        <v>996</v>
      </c>
      <c r="R249" s="390" t="s">
        <v>4080</v>
      </c>
      <c r="AA249" s="390" t="s">
        <v>3937</v>
      </c>
      <c r="AB249" s="236" t="s">
        <v>3565</v>
      </c>
      <c r="AH249"/>
      <c r="AI249"/>
    </row>
    <row r="250" spans="2:35">
      <c r="B250" s="240" t="str">
        <f t="shared" si="18"/>
        <v>Telefon kontaktowy</v>
      </c>
      <c r="M250" s="233" t="s">
        <v>124</v>
      </c>
      <c r="N250" s="191" t="s">
        <v>204</v>
      </c>
      <c r="O250" s="191" t="s">
        <v>263</v>
      </c>
      <c r="P250" s="191" t="s">
        <v>324</v>
      </c>
      <c r="Q250" s="191" t="s">
        <v>1607</v>
      </c>
      <c r="R250" s="390" t="s">
        <v>4081</v>
      </c>
      <c r="AA250" s="390" t="s">
        <v>3938</v>
      </c>
      <c r="AB250" s="236" t="s">
        <v>3566</v>
      </c>
      <c r="AH250"/>
      <c r="AI250"/>
    </row>
    <row r="251" spans="2:35">
      <c r="B251" s="240" t="str">
        <f t="shared" si="18"/>
        <v>Adres e-mail</v>
      </c>
      <c r="M251" s="233" t="s">
        <v>125</v>
      </c>
      <c r="N251" s="191" t="s">
        <v>205</v>
      </c>
      <c r="O251" s="191" t="s">
        <v>264</v>
      </c>
      <c r="P251" s="191" t="s">
        <v>325</v>
      </c>
      <c r="Q251" s="191" t="s">
        <v>1608</v>
      </c>
      <c r="R251" s="390" t="s">
        <v>4082</v>
      </c>
      <c r="AA251" s="390" t="s">
        <v>3939</v>
      </c>
      <c r="AB251" s="236" t="s">
        <v>3567</v>
      </c>
      <c r="AH251"/>
      <c r="AI251"/>
    </row>
    <row r="252" spans="2:35">
      <c r="B252" s="240" t="str">
        <f t="shared" si="18"/>
        <v>Adres oddziału</v>
      </c>
      <c r="M252" s="233" t="s">
        <v>123</v>
      </c>
      <c r="N252" s="191" t="s">
        <v>206</v>
      </c>
      <c r="O252" s="191" t="s">
        <v>265</v>
      </c>
      <c r="P252" s="191" t="s">
        <v>326</v>
      </c>
      <c r="Q252" s="191" t="s">
        <v>1609</v>
      </c>
      <c r="R252" s="390" t="s">
        <v>4083</v>
      </c>
      <c r="AA252" s="390" t="s">
        <v>3940</v>
      </c>
      <c r="AB252" s="236" t="s">
        <v>3568</v>
      </c>
      <c r="AH252"/>
      <c r="AI252"/>
    </row>
    <row r="253" spans="2:35">
      <c r="B253" s="240" t="str">
        <f t="shared" si="18"/>
        <v>NIP</v>
      </c>
      <c r="M253" s="233" t="s">
        <v>121</v>
      </c>
      <c r="N253" s="191" t="s">
        <v>121</v>
      </c>
      <c r="O253" s="191" t="s">
        <v>266</v>
      </c>
      <c r="P253" s="191" t="s">
        <v>121</v>
      </c>
      <c r="Q253" s="191" t="s">
        <v>1481</v>
      </c>
      <c r="R253" s="390" t="s">
        <v>4084</v>
      </c>
      <c r="AA253" s="390" t="s">
        <v>3941</v>
      </c>
      <c r="AB253" s="236" t="s">
        <v>3569</v>
      </c>
      <c r="AH253"/>
      <c r="AI253"/>
    </row>
    <row r="254" spans="2:35">
      <c r="B254" s="240" t="str">
        <f t="shared" si="18"/>
        <v>Rabat na ramki</v>
      </c>
      <c r="M254" s="233" t="s">
        <v>126</v>
      </c>
      <c r="N254" s="191" t="s">
        <v>207</v>
      </c>
      <c r="O254" s="191" t="s">
        <v>267</v>
      </c>
      <c r="P254" s="191" t="s">
        <v>327</v>
      </c>
      <c r="Q254" s="191" t="s">
        <v>997</v>
      </c>
      <c r="R254" s="390" t="s">
        <v>4085</v>
      </c>
      <c r="AA254" s="390" t="s">
        <v>3942</v>
      </c>
      <c r="AB254" s="236" t="s">
        <v>3570</v>
      </c>
      <c r="AH254"/>
      <c r="AI254"/>
    </row>
    <row r="255" spans="2:35">
      <c r="B255" s="240" t="str">
        <f t="shared" si="18"/>
        <v>Rabat na okucia</v>
      </c>
      <c r="M255" s="233" t="s">
        <v>127</v>
      </c>
      <c r="N255" s="191" t="s">
        <v>208</v>
      </c>
      <c r="O255" s="191" t="s">
        <v>268</v>
      </c>
      <c r="P255" s="191" t="s">
        <v>328</v>
      </c>
      <c r="Q255" s="191" t="s">
        <v>998</v>
      </c>
      <c r="R255" s="390" t="s">
        <v>4086</v>
      </c>
      <c r="AA255" s="390" t="s">
        <v>3943</v>
      </c>
      <c r="AB255" s="236" t="s">
        <v>3571</v>
      </c>
      <c r="AH255"/>
      <c r="AI255"/>
    </row>
    <row r="256" spans="2:35">
      <c r="B256" s="240" t="str">
        <f t="shared" si="18"/>
        <v>Numer zamówienia</v>
      </c>
      <c r="M256" s="233" t="s">
        <v>147</v>
      </c>
      <c r="N256" s="191" t="s">
        <v>147</v>
      </c>
      <c r="O256" s="191" t="s">
        <v>11</v>
      </c>
      <c r="P256" s="191" t="s">
        <v>329</v>
      </c>
      <c r="Q256" s="191" t="s">
        <v>1482</v>
      </c>
      <c r="R256" s="390" t="s">
        <v>4087</v>
      </c>
      <c r="AA256" s="390" t="s">
        <v>3944</v>
      </c>
      <c r="AB256" s="236" t="s">
        <v>3572</v>
      </c>
      <c r="AH256"/>
      <c r="AI256"/>
    </row>
    <row r="257" spans="2:35">
      <c r="B257" s="240" t="str">
        <f t="shared" si="18"/>
        <v>Podgląd kolorów RAL i REF jest orientacyjny !!!</v>
      </c>
      <c r="M257" s="233" t="s">
        <v>146</v>
      </c>
      <c r="N257" s="191" t="s">
        <v>211</v>
      </c>
      <c r="O257" s="191" t="s">
        <v>964</v>
      </c>
      <c r="P257" s="191" t="s">
        <v>1375</v>
      </c>
      <c r="Q257" s="191" t="s">
        <v>1483</v>
      </c>
      <c r="R257" s="390" t="s">
        <v>4088</v>
      </c>
      <c r="AA257" s="390" t="s">
        <v>3945</v>
      </c>
      <c r="AB257" s="236" t="s">
        <v>3573</v>
      </c>
      <c r="AH257"/>
      <c r="AI257"/>
    </row>
    <row r="258" spans="2:35">
      <c r="B258" s="240" t="str">
        <f t="shared" si="18"/>
        <v>Typ okucia</v>
      </c>
      <c r="M258" s="233" t="s">
        <v>50</v>
      </c>
      <c r="N258" s="191" t="s">
        <v>210</v>
      </c>
      <c r="O258" s="191" t="s">
        <v>274</v>
      </c>
      <c r="P258" s="191" t="s">
        <v>960</v>
      </c>
      <c r="Q258" s="191" t="s">
        <v>1610</v>
      </c>
      <c r="R258" t="s">
        <v>4089</v>
      </c>
      <c r="AA258" s="390" t="s">
        <v>3946</v>
      </c>
      <c r="AB258" s="236" t="s">
        <v>3574</v>
      </c>
      <c r="AH258"/>
      <c r="AI258"/>
    </row>
    <row r="259" spans="2:35">
      <c r="B259" s="240" t="str">
        <f t="shared" si="18"/>
        <v>AVENTOS HF</v>
      </c>
      <c r="M259" s="233" t="s">
        <v>53</v>
      </c>
      <c r="N259" s="233" t="s">
        <v>53</v>
      </c>
      <c r="O259" s="191" t="s">
        <v>53</v>
      </c>
      <c r="P259" s="191" t="s">
        <v>53</v>
      </c>
      <c r="Q259" s="191" t="s">
        <v>53</v>
      </c>
      <c r="R259" s="391" t="s">
        <v>53</v>
      </c>
      <c r="AA259" s="390" t="s">
        <v>3947</v>
      </c>
      <c r="AB259" s="236" t="s">
        <v>3575</v>
      </c>
      <c r="AH259"/>
      <c r="AI259"/>
    </row>
    <row r="260" spans="2:35">
      <c r="B260" s="240" t="str">
        <f t="shared" si="18"/>
        <v>AVENTOS HK TOP</v>
      </c>
      <c r="M260" s="191" t="s">
        <v>972</v>
      </c>
      <c r="N260" s="191" t="s">
        <v>972</v>
      </c>
      <c r="O260" s="191" t="s">
        <v>972</v>
      </c>
      <c r="P260" s="191" t="s">
        <v>972</v>
      </c>
      <c r="Q260" s="191" t="s">
        <v>972</v>
      </c>
      <c r="R260" s="392" t="s">
        <v>972</v>
      </c>
      <c r="AA260" s="390" t="s">
        <v>3948</v>
      </c>
      <c r="AB260" s="267" t="s">
        <v>3576</v>
      </c>
      <c r="AH260"/>
      <c r="AI260"/>
    </row>
    <row r="261" spans="2:35">
      <c r="B261" s="240" t="str">
        <f t="shared" si="18"/>
        <v>AVENTOS HKS</v>
      </c>
      <c r="M261" s="191" t="s">
        <v>54</v>
      </c>
      <c r="N261" s="191" t="s">
        <v>54</v>
      </c>
      <c r="O261" s="191" t="s">
        <v>54</v>
      </c>
      <c r="P261" s="191" t="s">
        <v>1376</v>
      </c>
      <c r="Q261" s="191" t="s">
        <v>54</v>
      </c>
      <c r="R261" s="392" t="s">
        <v>54</v>
      </c>
      <c r="AA261" s="390" t="s">
        <v>3949</v>
      </c>
      <c r="AB261" s="236" t="s">
        <v>3577</v>
      </c>
      <c r="AH261"/>
      <c r="AI261"/>
    </row>
    <row r="262" spans="2:35">
      <c r="B262" s="240" t="str">
        <f t="shared" si="18"/>
        <v>AVENTOS HL</v>
      </c>
      <c r="M262" s="191" t="s">
        <v>55</v>
      </c>
      <c r="N262" s="191" t="s">
        <v>55</v>
      </c>
      <c r="O262" s="191" t="s">
        <v>55</v>
      </c>
      <c r="P262" s="191" t="s">
        <v>55</v>
      </c>
      <c r="Q262" s="191" t="s">
        <v>55</v>
      </c>
      <c r="R262" s="392" t="s">
        <v>55</v>
      </c>
      <c r="AA262" s="390" t="s">
        <v>3950</v>
      </c>
      <c r="AB262" s="236" t="s">
        <v>3578</v>
      </c>
      <c r="AH262"/>
      <c r="AI262"/>
    </row>
    <row r="263" spans="2:35">
      <c r="B263" s="240" t="str">
        <f t="shared" si="18"/>
        <v>AVENTOS HS</v>
      </c>
      <c r="M263" s="191" t="s">
        <v>56</v>
      </c>
      <c r="N263" s="191" t="s">
        <v>56</v>
      </c>
      <c r="O263" s="191" t="s">
        <v>56</v>
      </c>
      <c r="P263" s="191" t="s">
        <v>56</v>
      </c>
      <c r="Q263" s="191" t="s">
        <v>56</v>
      </c>
      <c r="R263" s="392" t="s">
        <v>56</v>
      </c>
      <c r="AA263" s="390" t="s">
        <v>3951</v>
      </c>
      <c r="AB263" s="236" t="s">
        <v>3579</v>
      </c>
      <c r="AH263"/>
      <c r="AI263"/>
    </row>
    <row r="264" spans="2:35">
      <c r="B264" s="240" t="str">
        <f t="shared" si="18"/>
        <v>AVENTOS HK-XS</v>
      </c>
      <c r="M264" s="191" t="s">
        <v>579</v>
      </c>
      <c r="N264" s="191" t="s">
        <v>579</v>
      </c>
      <c r="O264" s="191" t="s">
        <v>579</v>
      </c>
      <c r="P264" s="191" t="s">
        <v>579</v>
      </c>
      <c r="Q264" s="191" t="s">
        <v>579</v>
      </c>
      <c r="R264" s="392" t="s">
        <v>579</v>
      </c>
      <c r="AA264" s="390" t="s">
        <v>3952</v>
      </c>
      <c r="AB264" s="267" t="s">
        <v>3580</v>
      </c>
      <c r="AH264"/>
      <c r="AI264"/>
    </row>
    <row r="265" spans="2:35">
      <c r="B265" s="240" t="str">
        <f t="shared" si="18"/>
        <v>AVENTOS HK-XS TIP-ON</v>
      </c>
      <c r="M265" s="191" t="s">
        <v>593</v>
      </c>
      <c r="N265" s="191" t="s">
        <v>593</v>
      </c>
      <c r="O265" s="191" t="s">
        <v>593</v>
      </c>
      <c r="P265" s="191" t="s">
        <v>593</v>
      </c>
      <c r="Q265" s="191" t="s">
        <v>593</v>
      </c>
      <c r="R265" s="392" t="s">
        <v>593</v>
      </c>
      <c r="AA265" s="390" t="s">
        <v>3953</v>
      </c>
      <c r="AB265" s="267" t="s">
        <v>3618</v>
      </c>
      <c r="AH265"/>
      <c r="AI265"/>
    </row>
    <row r="266" spans="2:35">
      <c r="B266" s="240" t="str">
        <f t="shared" si="18"/>
        <v>FGV</v>
      </c>
      <c r="M266" s="191" t="s">
        <v>1</v>
      </c>
      <c r="N266" s="191" t="s">
        <v>1</v>
      </c>
      <c r="O266" s="191" t="s">
        <v>1</v>
      </c>
      <c r="P266" s="191" t="s">
        <v>1</v>
      </c>
      <c r="Q266" s="191" t="s">
        <v>1</v>
      </c>
      <c r="R266" s="392" t="s">
        <v>1</v>
      </c>
      <c r="AA266" s="390" t="s">
        <v>3954</v>
      </c>
      <c r="AB266" s="236" t="s">
        <v>3581</v>
      </c>
    </row>
    <row r="267" spans="2:35">
      <c r="B267" s="240" t="str">
        <f t="shared" si="18"/>
        <v>BLUM</v>
      </c>
      <c r="M267" s="191" t="s">
        <v>2</v>
      </c>
      <c r="N267" s="191" t="s">
        <v>2</v>
      </c>
      <c r="O267" s="191" t="s">
        <v>2</v>
      </c>
      <c r="P267" s="191" t="s">
        <v>2</v>
      </c>
      <c r="Q267" s="191" t="s">
        <v>2</v>
      </c>
      <c r="R267" s="392" t="s">
        <v>2</v>
      </c>
      <c r="AA267" s="390" t="s">
        <v>3955</v>
      </c>
      <c r="AB267" s="236" t="s">
        <v>3582</v>
      </c>
    </row>
    <row r="268" spans="2:35">
      <c r="B268" s="240" t="str">
        <f t="shared" si="18"/>
        <v>STRONG  bez tłumienia</v>
      </c>
      <c r="M268" s="191" t="s">
        <v>649</v>
      </c>
      <c r="N268" s="191" t="s">
        <v>934</v>
      </c>
      <c r="O268" s="191" t="s">
        <v>935</v>
      </c>
      <c r="P268" s="191" t="s">
        <v>936</v>
      </c>
      <c r="Q268" s="191" t="s">
        <v>1611</v>
      </c>
      <c r="R268" s="390" t="s">
        <v>4090</v>
      </c>
      <c r="AA268" s="390" t="s">
        <v>3956</v>
      </c>
      <c r="AB268" s="267" t="s">
        <v>3583</v>
      </c>
    </row>
    <row r="269" spans="2:35">
      <c r="B269" s="240" t="str">
        <f t="shared" si="18"/>
        <v>HETTICH</v>
      </c>
      <c r="M269" s="191" t="s">
        <v>578</v>
      </c>
      <c r="N269" s="191" t="s">
        <v>578</v>
      </c>
      <c r="O269" s="191" t="s">
        <v>578</v>
      </c>
      <c r="P269" s="191" t="s">
        <v>578</v>
      </c>
      <c r="Q269" s="191" t="s">
        <v>578</v>
      </c>
      <c r="R269" s="392" t="s">
        <v>578</v>
      </c>
      <c r="AA269" s="390" t="s">
        <v>3957</v>
      </c>
      <c r="AB269" s="267" t="s">
        <v>3584</v>
      </c>
    </row>
    <row r="270" spans="2:35">
      <c r="B270" s="240" t="str">
        <f t="shared" si="18"/>
        <v>Wypełnij jedynie w przypadku, że wiercenie nie będzie symetryczne w stosunku do środka</v>
      </c>
      <c r="M270" s="233" t="s">
        <v>273</v>
      </c>
      <c r="N270" s="191" t="s">
        <v>344</v>
      </c>
      <c r="O270" s="191" t="s">
        <v>348</v>
      </c>
      <c r="P270" s="191" t="s">
        <v>353</v>
      </c>
      <c r="Q270" s="191" t="s">
        <v>1604</v>
      </c>
      <c r="R270" s="390" t="s">
        <v>4076</v>
      </c>
      <c r="AA270" s="390" t="s">
        <v>3958</v>
      </c>
      <c r="AB270" s="267" t="s">
        <v>3585</v>
      </c>
    </row>
    <row r="271" spans="2:35">
      <c r="B271" s="240" t="str">
        <f t="shared" si="18"/>
        <v>Ramki przesuwne</v>
      </c>
      <c r="M271" s="233" t="s">
        <v>7</v>
      </c>
      <c r="N271" s="191" t="s">
        <v>345</v>
      </c>
      <c r="O271" s="191" t="s">
        <v>508</v>
      </c>
      <c r="P271" s="191" t="s">
        <v>509</v>
      </c>
      <c r="Q271" s="191" t="s">
        <v>999</v>
      </c>
      <c r="R271" s="390" t="s">
        <v>4091</v>
      </c>
      <c r="AA271" s="390" t="s">
        <v>3959</v>
      </c>
      <c r="AB271" s="267" t="s">
        <v>3586</v>
      </c>
    </row>
    <row r="272" spans="2:35">
      <c r="B272" s="240" t="str">
        <f t="shared" si="18"/>
        <v xml:space="preserve">Standardowo zamówienie dostarczane jest zawsze łącznie z okuciem i listwą torową. </v>
      </c>
      <c r="M272" s="233" t="s">
        <v>150</v>
      </c>
      <c r="N272" s="191" t="s">
        <v>338</v>
      </c>
      <c r="O272" s="191" t="s">
        <v>376</v>
      </c>
      <c r="P272" s="191" t="s">
        <v>1377</v>
      </c>
      <c r="Q272" s="191" t="s">
        <v>1612</v>
      </c>
      <c r="R272" s="390" t="s">
        <v>4092</v>
      </c>
      <c r="AA272" s="390" t="s">
        <v>3960</v>
      </c>
      <c r="AB272" s="267" t="s">
        <v>3538</v>
      </c>
    </row>
    <row r="273" spans="2:28">
      <c r="B273" s="240" t="str">
        <f t="shared" si="18"/>
        <v>Wewnętrzne rozmiary szafki (mm)</v>
      </c>
      <c r="M273" s="233" t="s">
        <v>341</v>
      </c>
      <c r="N273" s="191" t="s">
        <v>339</v>
      </c>
      <c r="O273" s="191" t="s">
        <v>349</v>
      </c>
      <c r="P273" s="191" t="s">
        <v>354</v>
      </c>
      <c r="Q273" s="191" t="s">
        <v>1484</v>
      </c>
      <c r="R273" s="390" t="s">
        <v>4093</v>
      </c>
      <c r="AA273" s="390" t="s">
        <v>3961</v>
      </c>
      <c r="AB273" s="267" t="s">
        <v>3622</v>
      </c>
    </row>
    <row r="274" spans="2:28">
      <c r="B274" s="240" t="str">
        <f t="shared" si="18"/>
        <v xml:space="preserve">Ilość drzwi </v>
      </c>
      <c r="M274" s="233" t="s">
        <v>149</v>
      </c>
      <c r="N274" s="191" t="s">
        <v>340</v>
      </c>
      <c r="O274" s="191" t="s">
        <v>1426</v>
      </c>
      <c r="P274" s="191" t="s">
        <v>355</v>
      </c>
      <c r="Q274" s="191" t="s">
        <v>1000</v>
      </c>
      <c r="R274" s="390" t="s">
        <v>4094</v>
      </c>
      <c r="AA274" s="390" t="s">
        <v>3962</v>
      </c>
      <c r="AB274" s="267" t="s">
        <v>3626</v>
      </c>
    </row>
    <row r="275" spans="2:28">
      <c r="B275" s="240" t="str">
        <f t="shared" si="18"/>
        <v>Standardowe prześwity drzwi</v>
      </c>
      <c r="M275" s="233" t="s">
        <v>463</v>
      </c>
      <c r="N275" s="213" t="s">
        <v>342</v>
      </c>
      <c r="O275" s="191" t="s">
        <v>464</v>
      </c>
      <c r="P275" s="191" t="s">
        <v>1378</v>
      </c>
      <c r="Q275" s="191" t="s">
        <v>1485</v>
      </c>
      <c r="R275" s="390" t="s">
        <v>4095</v>
      </c>
      <c r="AA275" s="390" t="s">
        <v>3963</v>
      </c>
      <c r="AB275" s="243" t="s">
        <v>3539</v>
      </c>
    </row>
    <row r="276" spans="2:28">
      <c r="B276" s="240" t="str">
        <f t="shared" si="18"/>
        <v>kolor</v>
      </c>
      <c r="M276" s="233" t="s">
        <v>128</v>
      </c>
      <c r="N276" s="191" t="s">
        <v>343</v>
      </c>
      <c r="O276" s="191" t="s">
        <v>350</v>
      </c>
      <c r="P276" s="191" t="s">
        <v>356</v>
      </c>
      <c r="Q276" s="191" t="s">
        <v>1486</v>
      </c>
      <c r="R276" s="390" t="s">
        <v>4096</v>
      </c>
      <c r="AA276" s="390" t="s">
        <v>3964</v>
      </c>
      <c r="AB276" s="243" t="s">
        <v>3540</v>
      </c>
    </row>
    <row r="277" spans="2:28">
      <c r="B277" s="240" t="str">
        <f t="shared" si="18"/>
        <v>Zamówienie ALU</v>
      </c>
      <c r="M277" s="233" t="s">
        <v>336</v>
      </c>
      <c r="N277" s="191" t="s">
        <v>336</v>
      </c>
      <c r="O277" s="191" t="s">
        <v>351</v>
      </c>
      <c r="P277" s="191" t="s">
        <v>357</v>
      </c>
      <c r="Q277" s="191" t="s">
        <v>1487</v>
      </c>
      <c r="R277" s="390" t="s">
        <v>4097</v>
      </c>
      <c r="AA277" s="390" t="s">
        <v>3965</v>
      </c>
      <c r="AB277" s="243" t="s">
        <v>3541</v>
      </c>
    </row>
    <row r="278" spans="2:28">
      <c r="B278" s="240" t="str">
        <f t="shared" si="18"/>
        <v>Ramki przesuwne</v>
      </c>
      <c r="M278" s="233" t="s">
        <v>7</v>
      </c>
      <c r="N278" s="191" t="s">
        <v>345</v>
      </c>
      <c r="O278" s="191" t="s">
        <v>508</v>
      </c>
      <c r="P278" s="191" t="s">
        <v>509</v>
      </c>
      <c r="Q278" s="191" t="s">
        <v>999</v>
      </c>
      <c r="R278" s="390" t="s">
        <v>4091</v>
      </c>
      <c r="AA278" s="390" t="s">
        <v>3966</v>
      </c>
      <c r="AB278" s="243" t="s">
        <v>3542</v>
      </c>
    </row>
    <row r="279" spans="2:28">
      <c r="B279" s="240" t="str">
        <f t="shared" si="18"/>
        <v>Kolory LACOBEL i MATELAC</v>
      </c>
      <c r="M279" s="233" t="s">
        <v>337</v>
      </c>
      <c r="N279" s="191" t="s">
        <v>346</v>
      </c>
      <c r="O279" s="191" t="s">
        <v>352</v>
      </c>
      <c r="P279" s="191" t="s">
        <v>358</v>
      </c>
      <c r="Q279" s="191" t="s">
        <v>1613</v>
      </c>
      <c r="R279" s="390" t="s">
        <v>4098</v>
      </c>
      <c r="AA279" s="390" t="s">
        <v>3967</v>
      </c>
      <c r="AB279" s="243" t="s">
        <v>3543</v>
      </c>
    </row>
    <row r="280" spans="2:28">
      <c r="B280" s="240" t="str">
        <f t="shared" si="18"/>
        <v>20L3200</v>
      </c>
      <c r="M280" s="259" t="s">
        <v>359</v>
      </c>
      <c r="N280" s="259" t="s">
        <v>359</v>
      </c>
      <c r="O280" s="191" t="s">
        <v>359</v>
      </c>
      <c r="P280" s="191" t="s">
        <v>359</v>
      </c>
      <c r="Q280" s="191" t="s">
        <v>359</v>
      </c>
      <c r="R280" s="393" t="s">
        <v>359</v>
      </c>
      <c r="AA280" s="390" t="s">
        <v>3968</v>
      </c>
      <c r="AB280" s="243" t="s">
        <v>3544</v>
      </c>
    </row>
    <row r="281" spans="2:28">
      <c r="B281" s="240" t="str">
        <f t="shared" si="18"/>
        <v>20L3500</v>
      </c>
      <c r="M281" s="259" t="s">
        <v>360</v>
      </c>
      <c r="N281" s="259" t="s">
        <v>360</v>
      </c>
      <c r="O281" s="191" t="s">
        <v>360</v>
      </c>
      <c r="P281" s="191" t="s">
        <v>360</v>
      </c>
      <c r="Q281" s="191" t="s">
        <v>360</v>
      </c>
      <c r="R281" s="393" t="s">
        <v>360</v>
      </c>
      <c r="AA281" s="390" t="s">
        <v>3972</v>
      </c>
      <c r="AB281" s="243" t="s">
        <v>2533</v>
      </c>
    </row>
    <row r="282" spans="2:28">
      <c r="B282" s="240" t="str">
        <f t="shared" si="18"/>
        <v>20L3800</v>
      </c>
      <c r="M282" s="259" t="s">
        <v>361</v>
      </c>
      <c r="N282" s="259" t="s">
        <v>361</v>
      </c>
      <c r="O282" s="191" t="s">
        <v>361</v>
      </c>
      <c r="P282" s="191" t="s">
        <v>361</v>
      </c>
      <c r="Q282" s="191" t="s">
        <v>361</v>
      </c>
      <c r="R282" s="393" t="s">
        <v>361</v>
      </c>
      <c r="AA282" s="390" t="s">
        <v>3973</v>
      </c>
      <c r="AB282" s="243" t="s">
        <v>1354</v>
      </c>
    </row>
    <row r="283" spans="2:28">
      <c r="B283" s="240" t="str">
        <f t="shared" si="18"/>
        <v>20L3900</v>
      </c>
      <c r="M283" s="259" t="s">
        <v>362</v>
      </c>
      <c r="N283" s="259" t="s">
        <v>362</v>
      </c>
      <c r="O283" s="191" t="s">
        <v>362</v>
      </c>
      <c r="P283" s="191" t="s">
        <v>362</v>
      </c>
      <c r="Q283" s="191" t="s">
        <v>362</v>
      </c>
      <c r="R283" s="393" t="s">
        <v>362</v>
      </c>
    </row>
    <row r="284" spans="2:28">
      <c r="B284" s="240" t="str">
        <f t="shared" si="18"/>
        <v>Rodzaj ramienia</v>
      </c>
      <c r="M284" s="259" t="s">
        <v>363</v>
      </c>
      <c r="N284" s="259" t="s">
        <v>366</v>
      </c>
      <c r="O284" s="191" t="s">
        <v>367</v>
      </c>
      <c r="P284" s="191" t="s">
        <v>368</v>
      </c>
      <c r="Q284" s="191" t="s">
        <v>1614</v>
      </c>
      <c r="R284" s="390" t="s">
        <v>4099</v>
      </c>
    </row>
    <row r="285" spans="2:28">
      <c r="B285" s="240" t="str">
        <f t="shared" si="18"/>
        <v>Waga uchwytu (g)</v>
      </c>
      <c r="M285" s="259" t="s">
        <v>364</v>
      </c>
      <c r="N285" s="259" t="s">
        <v>369</v>
      </c>
      <c r="O285" s="191" t="s">
        <v>370</v>
      </c>
      <c r="P285" s="191" t="s">
        <v>371</v>
      </c>
      <c r="Q285" s="191" t="s">
        <v>1001</v>
      </c>
      <c r="R285" s="390" t="s">
        <v>4100</v>
      </c>
    </row>
    <row r="286" spans="2:28">
      <c r="B286" s="240" t="str">
        <f t="shared" si="18"/>
        <v>Rodzaje profili</v>
      </c>
      <c r="M286" s="259" t="s">
        <v>365</v>
      </c>
      <c r="N286" s="191" t="s">
        <v>372</v>
      </c>
      <c r="O286" s="191" t="s">
        <v>373</v>
      </c>
      <c r="P286" s="191" t="s">
        <v>374</v>
      </c>
      <c r="Q286" s="191" t="s">
        <v>1615</v>
      </c>
      <c r="R286" s="390" t="s">
        <v>4101</v>
      </c>
    </row>
    <row r="287" spans="2:28">
      <c r="B287" s="240" t="str">
        <f t="shared" si="18"/>
        <v>AVENTOS HF Servo Drive</v>
      </c>
      <c r="M287" s="233" t="s">
        <v>411</v>
      </c>
      <c r="N287" s="233" t="s">
        <v>411</v>
      </c>
      <c r="O287" s="191" t="s">
        <v>411</v>
      </c>
      <c r="P287" s="191" t="s">
        <v>411</v>
      </c>
      <c r="Q287" s="191" t="s">
        <v>411</v>
      </c>
      <c r="R287" s="391" t="s">
        <v>411</v>
      </c>
    </row>
    <row r="288" spans="2:28">
      <c r="B288" s="240" t="str">
        <f t="shared" si="18"/>
        <v>AVENTOS HK TOP TIP ON</v>
      </c>
      <c r="M288" s="233" t="s">
        <v>974</v>
      </c>
      <c r="N288" s="233" t="s">
        <v>974</v>
      </c>
      <c r="O288" s="191" t="s">
        <v>974</v>
      </c>
      <c r="P288" s="191" t="s">
        <v>974</v>
      </c>
      <c r="Q288" s="191" t="s">
        <v>974</v>
      </c>
      <c r="R288" s="391" t="s">
        <v>974</v>
      </c>
    </row>
    <row r="289" spans="2:28">
      <c r="B289" s="240" t="str">
        <f t="shared" si="18"/>
        <v>AVENTOS HKS TIP ON</v>
      </c>
      <c r="M289" s="233" t="s">
        <v>412</v>
      </c>
      <c r="N289" s="233" t="s">
        <v>412</v>
      </c>
      <c r="O289" s="191" t="s">
        <v>412</v>
      </c>
      <c r="P289" s="191" t="s">
        <v>1379</v>
      </c>
      <c r="Q289" s="191" t="s">
        <v>412</v>
      </c>
      <c r="R289" s="391" t="s">
        <v>412</v>
      </c>
    </row>
    <row r="290" spans="2:28">
      <c r="B290" s="240" t="str">
        <f t="shared" si="18"/>
        <v>AVENTOS HK TOP Servo Drive</v>
      </c>
      <c r="M290" s="233" t="s">
        <v>973</v>
      </c>
      <c r="N290" s="233" t="s">
        <v>973</v>
      </c>
      <c r="O290" s="191" t="s">
        <v>973</v>
      </c>
      <c r="P290" s="191" t="s">
        <v>973</v>
      </c>
      <c r="Q290" s="191" t="s">
        <v>973</v>
      </c>
      <c r="R290" s="391" t="s">
        <v>973</v>
      </c>
    </row>
    <row r="291" spans="2:28">
      <c r="B291" s="240" t="str">
        <f t="shared" si="18"/>
        <v>AVENTOS HL Servo Drive</v>
      </c>
      <c r="M291" s="233" t="s">
        <v>413</v>
      </c>
      <c r="N291" s="233" t="s">
        <v>413</v>
      </c>
      <c r="O291" s="191" t="s">
        <v>413</v>
      </c>
      <c r="P291" s="191" t="s">
        <v>413</v>
      </c>
      <c r="Q291" s="191" t="s">
        <v>413</v>
      </c>
      <c r="R291" s="391" t="s">
        <v>413</v>
      </c>
    </row>
    <row r="292" spans="2:28">
      <c r="B292" s="240" t="str">
        <f t="shared" si="18"/>
        <v>AVENTOS HS Servo Drive</v>
      </c>
      <c r="M292" s="233" t="s">
        <v>414</v>
      </c>
      <c r="N292" s="233" t="s">
        <v>414</v>
      </c>
      <c r="O292" s="191" t="s">
        <v>414</v>
      </c>
      <c r="P292" s="191" t="s">
        <v>414</v>
      </c>
      <c r="Q292" s="191" t="s">
        <v>414</v>
      </c>
      <c r="R292" s="391" t="s">
        <v>414</v>
      </c>
    </row>
    <row r="293" spans="2:28">
      <c r="B293" s="240" t="str">
        <f t="shared" si="18"/>
        <v>Dolne</v>
      </c>
      <c r="M293" s="233" t="s">
        <v>416</v>
      </c>
      <c r="N293" s="191" t="s">
        <v>428</v>
      </c>
      <c r="O293" s="191" t="s">
        <v>429</v>
      </c>
      <c r="P293" s="191" t="s">
        <v>430</v>
      </c>
      <c r="Q293" s="191" t="s">
        <v>1488</v>
      </c>
      <c r="R293" s="390" t="s">
        <v>4102</v>
      </c>
    </row>
    <row r="294" spans="2:28">
      <c r="B294" s="240" t="str">
        <f t="shared" si="18"/>
        <v>Minimalna odległość umieszczenia zawiasu</v>
      </c>
      <c r="M294" s="259" t="s">
        <v>432</v>
      </c>
      <c r="N294" s="191" t="s">
        <v>475</v>
      </c>
      <c r="O294" s="191" t="s">
        <v>485</v>
      </c>
      <c r="P294" s="191" t="s">
        <v>486</v>
      </c>
      <c r="Q294" s="191" t="s">
        <v>1616</v>
      </c>
      <c r="R294" s="390" t="s">
        <v>4103</v>
      </c>
    </row>
    <row r="295" spans="2:28">
      <c r="B295" s="240" t="str">
        <f t="shared" si="18"/>
        <v>Nakładany ze zintegrowanym Blumotionem</v>
      </c>
      <c r="M295" s="233" t="s">
        <v>433</v>
      </c>
      <c r="N295" s="191" t="s">
        <v>476</v>
      </c>
      <c r="O295" s="191" t="s">
        <v>1427</v>
      </c>
      <c r="P295" s="191" t="s">
        <v>487</v>
      </c>
      <c r="Q295" s="191" t="s">
        <v>1617</v>
      </c>
      <c r="R295" s="390" t="s">
        <v>4104</v>
      </c>
    </row>
    <row r="296" spans="2:28">
      <c r="B296" s="240" t="str">
        <f t="shared" si="18"/>
        <v>Standardowe wiercenia pod wszystkie zawiasy w Aventosie HF wynosi 100mm od krawędzi.</v>
      </c>
      <c r="M296" s="257" t="s">
        <v>468</v>
      </c>
      <c r="N296" s="191" t="s">
        <v>477</v>
      </c>
      <c r="O296" s="191" t="s">
        <v>965</v>
      </c>
      <c r="P296" s="191" t="s">
        <v>1380</v>
      </c>
      <c r="Q296" s="191" t="s">
        <v>1489</v>
      </c>
      <c r="R296" s="390" t="s">
        <v>4105</v>
      </c>
    </row>
    <row r="297" spans="2:28">
      <c r="B297" s="240" t="str">
        <f t="shared" si="18"/>
        <v xml:space="preserve">Standardowa średnica otworów dla uchwytów jest w szkle 7 mm, a w ramce 5 mm (opakowanie zawiera podkładki) </v>
      </c>
      <c r="M297" s="233" t="s">
        <v>437</v>
      </c>
      <c r="N297" s="191" t="s">
        <v>478</v>
      </c>
      <c r="O297" s="191" t="s">
        <v>488</v>
      </c>
      <c r="P297" s="191" t="s">
        <v>489</v>
      </c>
      <c r="Q297" s="191" t="s">
        <v>1490</v>
      </c>
      <c r="R297" s="390" t="s">
        <v>4106</v>
      </c>
    </row>
    <row r="298" spans="2:28">
      <c r="B298" s="240" t="str">
        <f t="shared" ref="B298:B361" si="19">IF($D$1=1,M298,IF($D$1=2,N298,IF($D$1=3,O298,IF($D$1=4,P298,IF($D$1=5,Q298,IF($D$1=6,R298,0))))))</f>
        <v>Jeżeli Państwa wymagania są inne niż powyżej, należy zapisać je w notatce.</v>
      </c>
      <c r="M298" s="233" t="s">
        <v>438</v>
      </c>
      <c r="N298" s="191" t="s">
        <v>479</v>
      </c>
      <c r="O298" s="191" t="s">
        <v>490</v>
      </c>
      <c r="P298" s="191" t="s">
        <v>491</v>
      </c>
      <c r="Q298" s="191" t="s">
        <v>1491</v>
      </c>
      <c r="R298" s="390" t="s">
        <v>4107</v>
      </c>
    </row>
    <row r="299" spans="2:28">
      <c r="B299" s="240" t="str">
        <f t="shared" si="19"/>
        <v>W przypadku niektórych typów uchwytów gwinty do wkrętów są wpuszczone i należy zastosować odpowiednie podkładki dystansowe.</v>
      </c>
      <c r="M299" s="233" t="s">
        <v>442</v>
      </c>
      <c r="N299" s="191" t="s">
        <v>480</v>
      </c>
      <c r="O299" s="191" t="s">
        <v>1428</v>
      </c>
      <c r="P299" s="191" t="s">
        <v>959</v>
      </c>
      <c r="Q299" s="191" t="s">
        <v>1618</v>
      </c>
      <c r="R299" s="390" t="s">
        <v>4108</v>
      </c>
    </row>
    <row r="300" spans="2:28">
      <c r="B300" s="240" t="str">
        <f t="shared" si="19"/>
        <v>Reklamacja nie będzie uwzględniana w przypadku, gdy ramka została już zamontowana..</v>
      </c>
      <c r="M300" s="233" t="s">
        <v>439</v>
      </c>
      <c r="N300" s="191" t="s">
        <v>481</v>
      </c>
      <c r="O300" s="191" t="s">
        <v>3730</v>
      </c>
      <c r="P300" s="191" t="s">
        <v>492</v>
      </c>
      <c r="Q300" s="191" t="s">
        <v>1619</v>
      </c>
      <c r="R300" s="390" t="s">
        <v>4109</v>
      </c>
    </row>
    <row r="301" spans="2:28">
      <c r="B301" s="240" t="str">
        <f t="shared" si="19"/>
        <v>Do zamocowania okuć do ramki aluminiowej należy stosować specjalnie do tego przeznaczone wkręty (np. kod 13681)</v>
      </c>
      <c r="M301" s="233" t="s">
        <v>440</v>
      </c>
      <c r="N301" s="191" t="s">
        <v>482</v>
      </c>
      <c r="O301" s="191" t="s">
        <v>966</v>
      </c>
      <c r="P301" s="191" t="s">
        <v>493</v>
      </c>
      <c r="Q301" s="191" t="s">
        <v>1620</v>
      </c>
      <c r="R301" s="390" t="s">
        <v>4110</v>
      </c>
    </row>
    <row r="302" spans="2:28">
      <c r="B302" s="240" t="str">
        <f t="shared" si="19"/>
        <v>Zawsze korzystaj z aktualnej wersji formularza, który jest umieszczony na naszej stronie web.</v>
      </c>
      <c r="M302" s="233" t="s">
        <v>2787</v>
      </c>
      <c r="N302" s="191" t="s">
        <v>483</v>
      </c>
      <c r="O302" s="191" t="s">
        <v>3725</v>
      </c>
      <c r="P302" s="191" t="s">
        <v>1381</v>
      </c>
      <c r="Q302" s="191" t="s">
        <v>1621</v>
      </c>
      <c r="R302" s="390" t="s">
        <v>4111</v>
      </c>
    </row>
    <row r="303" spans="2:28">
      <c r="B303" s="240" t="str">
        <f t="shared" si="19"/>
        <v>Szczelina między szprosami musi wynosić co najmniej 100 mm.</v>
      </c>
      <c r="M303" s="233" t="s">
        <v>1321</v>
      </c>
      <c r="N303" s="191" t="s">
        <v>1323</v>
      </c>
      <c r="O303" s="191" t="s">
        <v>1429</v>
      </c>
      <c r="P303" s="191" t="s">
        <v>1322</v>
      </c>
      <c r="Q303" s="191" t="s">
        <v>1622</v>
      </c>
      <c r="R303" s="390" t="s">
        <v>4112</v>
      </c>
      <c r="AA303" s="390"/>
      <c r="AB303" s="243"/>
    </row>
    <row r="304" spans="2:28">
      <c r="B304" s="240" t="str">
        <f t="shared" si="19"/>
        <v>W jednym formularzu możemy wybrać różne rodzaje i wymiary ramek. Przed odesłaniem zamówienia należy sprawdzić poprawność wprowadzonych parametrów.</v>
      </c>
      <c r="M304" s="233" t="s">
        <v>441</v>
      </c>
      <c r="N304" s="191" t="s">
        <v>494</v>
      </c>
      <c r="O304" s="191" t="s">
        <v>967</v>
      </c>
      <c r="P304" s="191" t="s">
        <v>495</v>
      </c>
      <c r="Q304" s="191" t="s">
        <v>1623</v>
      </c>
      <c r="R304" s="390" t="s">
        <v>4113</v>
      </c>
    </row>
    <row r="305" spans="2:28">
      <c r="B305" s="240" t="str">
        <f t="shared" si="19"/>
        <v>Formularz składa się z kilku stron, które można przełączać w dolnej części.</v>
      </c>
      <c r="M305" s="233" t="s">
        <v>443</v>
      </c>
      <c r="N305" s="191" t="s">
        <v>496</v>
      </c>
      <c r="O305" s="191" t="s">
        <v>497</v>
      </c>
      <c r="P305" s="191" t="s">
        <v>498</v>
      </c>
      <c r="Q305" s="191" t="s">
        <v>1624</v>
      </c>
      <c r="R305" s="390" t="s">
        <v>4114</v>
      </c>
    </row>
    <row r="306" spans="2:28">
      <c r="B306" s="240" t="str">
        <f t="shared" si="19"/>
        <v>Wpisz proszę dane kontaktowe i kliknij w odpowiednie okienko poniżej.</v>
      </c>
      <c r="M306" s="233" t="s">
        <v>552</v>
      </c>
      <c r="N306" s="191" t="s">
        <v>499</v>
      </c>
      <c r="O306" s="191" t="s">
        <v>500</v>
      </c>
      <c r="P306" s="191" t="s">
        <v>501</v>
      </c>
      <c r="Q306" s="191" t="s">
        <v>1492</v>
      </c>
      <c r="R306" s="390" t="s">
        <v>4115</v>
      </c>
      <c r="AA306" s="390"/>
      <c r="AB306" s="243"/>
    </row>
    <row r="307" spans="2:28">
      <c r="B307" s="240" t="str">
        <f t="shared" si="19"/>
        <v>Poprzez zapisanie danych potwierdzasz, że zapoznałeś się z podanymi niżej informacjami!</v>
      </c>
      <c r="M307" s="233" t="s">
        <v>466</v>
      </c>
      <c r="N307" s="191" t="s">
        <v>502</v>
      </c>
      <c r="O307" s="191" t="s">
        <v>503</v>
      </c>
      <c r="P307" s="191" t="s">
        <v>504</v>
      </c>
      <c r="Q307" s="191" t="s">
        <v>1625</v>
      </c>
      <c r="R307" s="390" t="s">
        <v>4116</v>
      </c>
    </row>
    <row r="308" spans="2:28">
      <c r="B308" s="240" t="str">
        <f t="shared" si="19"/>
        <v>Zwykłe ramki</v>
      </c>
      <c r="M308" s="233" t="s">
        <v>444</v>
      </c>
      <c r="N308" s="191" t="s">
        <v>505</v>
      </c>
      <c r="O308" s="191" t="s">
        <v>506</v>
      </c>
      <c r="P308" s="191" t="s">
        <v>507</v>
      </c>
      <c r="Q308" s="191" t="s">
        <v>1527</v>
      </c>
      <c r="R308" s="390" t="s">
        <v>4117</v>
      </c>
    </row>
    <row r="309" spans="2:28">
      <c r="B309" s="240" t="str">
        <f t="shared" si="19"/>
        <v>Ramki przesuwne</v>
      </c>
      <c r="M309" s="233" t="s">
        <v>7</v>
      </c>
      <c r="N309" s="191" t="s">
        <v>345</v>
      </c>
      <c r="O309" s="191" t="s">
        <v>508</v>
      </c>
      <c r="P309" s="191" t="s">
        <v>509</v>
      </c>
      <c r="Q309" s="191" t="s">
        <v>999</v>
      </c>
      <c r="R309" s="390" t="s">
        <v>4091</v>
      </c>
    </row>
    <row r="310" spans="2:28">
      <c r="B310" s="240" t="str">
        <f t="shared" si="19"/>
        <v>Rysunki profili i okuć łączących</v>
      </c>
      <c r="M310" s="233" t="s">
        <v>445</v>
      </c>
      <c r="N310" s="191" t="s">
        <v>2691</v>
      </c>
      <c r="O310" s="191" t="s">
        <v>510</v>
      </c>
      <c r="P310" s="191" t="s">
        <v>511</v>
      </c>
      <c r="Q310" s="191" t="s">
        <v>1626</v>
      </c>
      <c r="R310" s="390" t="s">
        <v>4118</v>
      </c>
      <c r="AB310" s="243"/>
    </row>
    <row r="311" spans="2:28">
      <c r="B311" s="240" t="str">
        <f t="shared" si="19"/>
        <v>Maksymalny zalecany rozmiar ramki to 2500 x 1250 mm (w wypadku ramek ze szkłem wklejanym, np. Corleone 1500 x 600 mm)</v>
      </c>
      <c r="M311" s="233" t="s">
        <v>3285</v>
      </c>
      <c r="N311" s="191" t="s">
        <v>3286</v>
      </c>
      <c r="O311" s="191" t="s">
        <v>3287</v>
      </c>
      <c r="P311" s="191" t="s">
        <v>3288</v>
      </c>
      <c r="Q311" s="191" t="s">
        <v>3289</v>
      </c>
      <c r="R311" s="390" t="s">
        <v>4119</v>
      </c>
      <c r="AB311" s="243"/>
    </row>
    <row r="312" spans="2:28">
      <c r="B312" s="240" t="str">
        <f t="shared" si="19"/>
        <v>Na prośbę klienta można dostarczyć ramki o maksymalnej długości profilu 3m. Rozmiar maksymalny szkła wynosi 2500 x 1300 mm.</v>
      </c>
      <c r="M312" s="233" t="s">
        <v>553</v>
      </c>
      <c r="N312" s="191" t="s">
        <v>512</v>
      </c>
      <c r="O312" s="191" t="s">
        <v>1430</v>
      </c>
      <c r="P312" s="191" t="s">
        <v>513</v>
      </c>
      <c r="Q312" s="191" t="s">
        <v>1493</v>
      </c>
      <c r="R312" s="390" t="s">
        <v>4120</v>
      </c>
    </row>
    <row r="313" spans="2:28">
      <c r="B313" s="240" t="str">
        <f t="shared" si="19"/>
        <v>Wszystkie szkła Lacobel i Matelac można podkleić folią bezpieczną (należy dopisać taką informację w notatce)</v>
      </c>
      <c r="M313" s="233" t="s">
        <v>446</v>
      </c>
      <c r="N313" s="191" t="s">
        <v>514</v>
      </c>
      <c r="O313" s="191" t="s">
        <v>1431</v>
      </c>
      <c r="P313" s="191" t="s">
        <v>1382</v>
      </c>
      <c r="Q313" s="191" t="s">
        <v>1494</v>
      </c>
      <c r="R313" s="390" t="s">
        <v>4121</v>
      </c>
    </row>
    <row r="314" spans="2:28">
      <c r="B314" s="240" t="str">
        <f t="shared" si="19"/>
        <v>Wypełniony formularz wyślij pod adres email:</v>
      </c>
      <c r="M314" s="233" t="s">
        <v>447</v>
      </c>
      <c r="N314" s="191" t="s">
        <v>515</v>
      </c>
      <c r="O314" s="191" t="s">
        <v>3729</v>
      </c>
      <c r="P314" s="191" t="s">
        <v>516</v>
      </c>
      <c r="Q314" s="191" t="s">
        <v>1495</v>
      </c>
      <c r="R314" s="390" t="s">
        <v>4122</v>
      </c>
    </row>
    <row r="315" spans="2:28">
      <c r="B315" s="240" t="str">
        <f t="shared" si="19"/>
        <v>zamowienia@demos-trade.com</v>
      </c>
      <c r="M315" s="260" t="s">
        <v>450</v>
      </c>
      <c r="N315" s="191" t="s">
        <v>3342</v>
      </c>
      <c r="O315" s="191" t="s">
        <v>448</v>
      </c>
      <c r="P315" s="191" t="s">
        <v>449</v>
      </c>
      <c r="Q315" s="191" t="s">
        <v>1496</v>
      </c>
      <c r="R315" s="191" t="s">
        <v>1003</v>
      </c>
    </row>
    <row r="316" spans="2:28">
      <c r="B316" s="240" t="str">
        <f t="shared" si="19"/>
        <v>Rysunki profili</v>
      </c>
      <c r="M316" s="233" t="s">
        <v>451</v>
      </c>
      <c r="N316" s="191" t="s">
        <v>517</v>
      </c>
      <c r="O316" s="191" t="s">
        <v>518</v>
      </c>
      <c r="P316" s="191" t="s">
        <v>519</v>
      </c>
      <c r="Q316" s="191" t="s">
        <v>1004</v>
      </c>
      <c r="R316" s="390" t="s">
        <v>4123</v>
      </c>
    </row>
    <row r="317" spans="2:28">
      <c r="B317" s="240" t="str">
        <f t="shared" si="19"/>
        <v>Komplet okuć do wąskiej ramki H27AL (88630)</v>
      </c>
      <c r="M317" s="233" t="s">
        <v>452</v>
      </c>
      <c r="N317" s="191" t="s">
        <v>520</v>
      </c>
      <c r="O317" s="191" t="s">
        <v>521</v>
      </c>
      <c r="P317" s="191" t="s">
        <v>522</v>
      </c>
      <c r="Q317" s="191" t="s">
        <v>1497</v>
      </c>
      <c r="R317" s="390" t="s">
        <v>4124</v>
      </c>
    </row>
    <row r="318" spans="2:28">
      <c r="B318" s="240" t="str">
        <f t="shared" si="19"/>
        <v>Komplet okuć do szerokiej ramki H37AL (88631)</v>
      </c>
      <c r="M318" s="233" t="s">
        <v>453</v>
      </c>
      <c r="N318" s="191" t="s">
        <v>523</v>
      </c>
      <c r="O318" s="191" t="s">
        <v>524</v>
      </c>
      <c r="P318" s="191" t="s">
        <v>525</v>
      </c>
      <c r="Q318" s="191" t="s">
        <v>1498</v>
      </c>
      <c r="R318" s="390" t="s">
        <v>4125</v>
      </c>
      <c r="AA318" s="239"/>
      <c r="AB318" s="243"/>
    </row>
    <row r="319" spans="2:28">
      <c r="B319" s="240" t="str">
        <f t="shared" si="19"/>
        <v>Wysokość ramki = wysokość wewnętrzna szafki - 6 mm.</v>
      </c>
      <c r="M319" s="233" t="s">
        <v>3711</v>
      </c>
      <c r="N319" s="191" t="s">
        <v>3713</v>
      </c>
      <c r="O319" s="191" t="s">
        <v>3712</v>
      </c>
      <c r="P319" s="191" t="s">
        <v>3714</v>
      </c>
      <c r="Q319" s="191" t="s">
        <v>3715</v>
      </c>
      <c r="R319" s="390" t="s">
        <v>4126</v>
      </c>
      <c r="AA319" s="239"/>
      <c r="AB319" s="243"/>
    </row>
    <row r="320" spans="2:28">
      <c r="B320" s="240" t="str">
        <f t="shared" si="19"/>
        <v>Standardowo ościeżnice przygotowane są pod okucia przesuwne H27AL (nośność 25 kg na ościeżnicę) i H37AL (nośność 35 kg na ościeżnicę).</v>
      </c>
      <c r="M320" s="233" t="s">
        <v>1346</v>
      </c>
      <c r="N320" s="191" t="s">
        <v>1347</v>
      </c>
      <c r="O320" s="191" t="s">
        <v>1416</v>
      </c>
      <c r="P320" s="191" t="s">
        <v>1415</v>
      </c>
      <c r="Q320" s="191" t="s">
        <v>1499</v>
      </c>
      <c r="R320" s="390" t="s">
        <v>4127</v>
      </c>
      <c r="AA320" s="239"/>
      <c r="AB320" s="243"/>
    </row>
    <row r="321" spans="2:28">
      <c r="B321" s="240" t="str">
        <f t="shared" si="19"/>
        <v>Prowadzenie górne długość 2 m (87313)</v>
      </c>
      <c r="M321" s="233" t="s">
        <v>454</v>
      </c>
      <c r="N321" s="191" t="s">
        <v>526</v>
      </c>
      <c r="O321" s="191" t="s">
        <v>527</v>
      </c>
      <c r="P321" s="191" t="s">
        <v>528</v>
      </c>
      <c r="Q321" s="191" t="s">
        <v>1627</v>
      </c>
      <c r="R321" s="390" t="s">
        <v>4128</v>
      </c>
      <c r="AA321" s="239"/>
      <c r="AB321" s="243"/>
    </row>
    <row r="322" spans="2:28">
      <c r="B322" s="240" t="str">
        <f t="shared" si="19"/>
        <v>Prowadzenie dolne długość 2 m (87315)</v>
      </c>
      <c r="M322" s="233" t="s">
        <v>3343</v>
      </c>
      <c r="N322" s="191" t="s">
        <v>529</v>
      </c>
      <c r="O322" s="191" t="s">
        <v>530</v>
      </c>
      <c r="P322" s="191" t="s">
        <v>531</v>
      </c>
      <c r="Q322" s="191" t="s">
        <v>1628</v>
      </c>
      <c r="R322" s="390" t="s">
        <v>4129</v>
      </c>
      <c r="AA322" s="239"/>
      <c r="AB322" s="243"/>
    </row>
    <row r="323" spans="2:28">
      <c r="B323" s="240" t="str">
        <f t="shared" si="19"/>
        <v>Prowadzenie górne długość 3 m (87312)</v>
      </c>
      <c r="M323" s="233" t="s">
        <v>455</v>
      </c>
      <c r="N323" s="191" t="s">
        <v>532</v>
      </c>
      <c r="O323" s="191" t="s">
        <v>533</v>
      </c>
      <c r="P323" s="191" t="s">
        <v>534</v>
      </c>
      <c r="Q323" s="191" t="s">
        <v>1629</v>
      </c>
      <c r="R323" s="390" t="s">
        <v>4130</v>
      </c>
      <c r="AA323" s="239"/>
      <c r="AB323" s="243"/>
    </row>
    <row r="324" spans="2:28" ht="15.75" thickBot="1">
      <c r="B324" s="240" t="str">
        <f t="shared" si="19"/>
        <v>Prowadzenie dolne długość 3 m (87314)</v>
      </c>
      <c r="M324" s="233" t="s">
        <v>3344</v>
      </c>
      <c r="N324" s="191" t="s">
        <v>535</v>
      </c>
      <c r="O324" s="191" t="s">
        <v>536</v>
      </c>
      <c r="P324" s="191" t="s">
        <v>537</v>
      </c>
      <c r="Q324" s="191" t="s">
        <v>1630</v>
      </c>
      <c r="R324" s="390" t="s">
        <v>4131</v>
      </c>
      <c r="AA324" s="249"/>
      <c r="AB324" s="250"/>
    </row>
    <row r="325" spans="2:28">
      <c r="B325" s="240" t="str">
        <f t="shared" si="19"/>
        <v>Inne wymagania (szt)</v>
      </c>
      <c r="M325" s="233" t="s">
        <v>462</v>
      </c>
      <c r="N325" s="191" t="s">
        <v>538</v>
      </c>
      <c r="O325" s="191" t="s">
        <v>539</v>
      </c>
      <c r="P325" s="191" t="s">
        <v>540</v>
      </c>
      <c r="Q325" s="191" t="s">
        <v>1631</v>
      </c>
      <c r="R325" s="390" t="s">
        <v>4132</v>
      </c>
      <c r="AA325" s="239"/>
      <c r="AB325" s="243"/>
    </row>
    <row r="326" spans="2:28" ht="15.75" thickBot="1">
      <c r="B326" s="240" t="str">
        <f t="shared" si="19"/>
        <v>Ilość (szt)</v>
      </c>
      <c r="M326" s="233" t="s">
        <v>465</v>
      </c>
      <c r="N326" s="191" t="s">
        <v>541</v>
      </c>
      <c r="O326" s="191" t="s">
        <v>542</v>
      </c>
      <c r="P326" s="191" t="s">
        <v>543</v>
      </c>
      <c r="Q326" s="191" t="s">
        <v>1632</v>
      </c>
      <c r="R326" s="390" t="s">
        <v>4133</v>
      </c>
      <c r="AA326" s="249"/>
      <c r="AB326" s="250"/>
    </row>
    <row r="327" spans="2:28" ht="15.75" thickBot="1">
      <c r="B327" s="240" t="str">
        <f t="shared" si="19"/>
        <v>Do ramek ponadgabarytowych (ponad rozmiar 1200 x 800 mm) może być doliczana opłata za specjalne zapakowanie i transport (dodatkowe informacje w Biurze Obsługi Klienta tel. 32 790 85 82)</v>
      </c>
      <c r="M327" s="233" t="s">
        <v>2780</v>
      </c>
      <c r="N327" s="191" t="s">
        <v>544</v>
      </c>
      <c r="O327" s="191" t="s">
        <v>3738</v>
      </c>
      <c r="P327" s="191" t="s">
        <v>1383</v>
      </c>
      <c r="Q327" s="191" t="s">
        <v>1633</v>
      </c>
      <c r="R327" s="390" t="s">
        <v>4134</v>
      </c>
      <c r="AA327" s="249"/>
      <c r="AB327" s="250"/>
    </row>
    <row r="328" spans="2:28">
      <c r="B328" s="240" t="str">
        <f t="shared" si="19"/>
        <v>Przed odesłaniem zamówienia należy sprawdzić czy nie przekroczone zostały maksymalne wymiary ramki względem zastosowanego okucia. Formularz nie ma ustawionych ograniczeń.</v>
      </c>
      <c r="M328" s="233" t="s">
        <v>467</v>
      </c>
      <c r="N328" s="191" t="s">
        <v>545</v>
      </c>
      <c r="O328" s="191" t="s">
        <v>1432</v>
      </c>
      <c r="P328" s="191" t="s">
        <v>546</v>
      </c>
      <c r="Q328" s="191" t="s">
        <v>1500</v>
      </c>
      <c r="R328" s="390" t="s">
        <v>4135</v>
      </c>
      <c r="AA328" s="245"/>
      <c r="AB328" s="244"/>
    </row>
    <row r="329" spans="2:28">
      <c r="B329" s="240" t="str">
        <f t="shared" si="19"/>
        <v>Wzornik szkieł można zamawiać pod kodami Lacebel VZK003P oraz Matelac VZK004P.</v>
      </c>
      <c r="M329" s="233" t="s">
        <v>469</v>
      </c>
      <c r="N329" s="191" t="s">
        <v>548</v>
      </c>
      <c r="O329" s="191" t="s">
        <v>547</v>
      </c>
      <c r="P329" s="191" t="s">
        <v>1384</v>
      </c>
      <c r="Q329" s="191" t="s">
        <v>1501</v>
      </c>
      <c r="R329" s="390" t="s">
        <v>4136</v>
      </c>
      <c r="AA329" s="248"/>
      <c r="AB329" s="243"/>
    </row>
    <row r="330" spans="2:28">
      <c r="B330" s="240" t="str">
        <f t="shared" si="19"/>
        <v>Cena za ramy przesuwne jest taka sama jak cena za zwykłe ramy.</v>
      </c>
      <c r="M330" s="233" t="s">
        <v>1348</v>
      </c>
      <c r="N330" s="191" t="s">
        <v>554</v>
      </c>
      <c r="O330" s="191" t="s">
        <v>1417</v>
      </c>
      <c r="P330" s="191" t="s">
        <v>1418</v>
      </c>
      <c r="Q330" s="191" t="s">
        <v>1502</v>
      </c>
      <c r="R330" s="390" t="s">
        <v>4137</v>
      </c>
      <c r="AA330" s="248"/>
      <c r="AB330" s="243"/>
    </row>
    <row r="331" spans="2:28">
      <c r="B331" s="240" t="str">
        <f t="shared" si="19"/>
        <v>Jeśli uchwyt będzie zamocowany w wierceniach w szkle, należy zastosować podkładkę dystansową (np. kod 144516, 191970, C0315)</v>
      </c>
      <c r="M331" s="233" t="s">
        <v>968</v>
      </c>
      <c r="N331" s="191" t="s">
        <v>969</v>
      </c>
      <c r="O331" s="191" t="s">
        <v>970</v>
      </c>
      <c r="P331" s="191" t="s">
        <v>971</v>
      </c>
      <c r="Q331" s="191" t="s">
        <v>1531</v>
      </c>
      <c r="R331" s="390" t="s">
        <v>4138</v>
      </c>
      <c r="AA331" s="248"/>
      <c r="AB331" s="243"/>
    </row>
    <row r="332" spans="2:28">
      <c r="B332" s="240" t="str">
        <f t="shared" si="19"/>
        <v>Podane rysunki techniczne frontów przedstawione są z przodu.</v>
      </c>
      <c r="M332" s="233" t="s">
        <v>561</v>
      </c>
      <c r="N332" s="191" t="s">
        <v>808</v>
      </c>
      <c r="O332" s="191" t="s">
        <v>1433</v>
      </c>
      <c r="P332" s="191" t="s">
        <v>1385</v>
      </c>
      <c r="Q332" s="191" t="s">
        <v>1503</v>
      </c>
      <c r="R332" s="390" t="s">
        <v>4139</v>
      </c>
      <c r="AA332" s="248"/>
      <c r="AB332" s="243"/>
    </row>
    <row r="333" spans="2:28">
      <c r="B333" s="240" t="str">
        <f t="shared" si="19"/>
        <v>Ramki ponadwymiarowe, może być doliczona wyższa opłata transportu.</v>
      </c>
      <c r="M333" s="233" t="s">
        <v>562</v>
      </c>
      <c r="N333" s="191" t="s">
        <v>563</v>
      </c>
      <c r="O333" s="191" t="s">
        <v>564</v>
      </c>
      <c r="P333" s="191" t="s">
        <v>565</v>
      </c>
      <c r="Q333" s="191" t="s">
        <v>1504</v>
      </c>
      <c r="R333" s="390" t="s">
        <v>4140</v>
      </c>
      <c r="AA333" s="248"/>
      <c r="AB333" s="243"/>
    </row>
    <row r="334" spans="2:28">
      <c r="B334" s="240" t="str">
        <f t="shared" si="19"/>
        <v>Umieszczenie ramienia</v>
      </c>
      <c r="M334" s="233" t="s">
        <v>592</v>
      </c>
      <c r="N334" s="191" t="s">
        <v>809</v>
      </c>
      <c r="O334" s="191" t="s">
        <v>1434</v>
      </c>
      <c r="P334" s="191" t="s">
        <v>810</v>
      </c>
      <c r="Q334" s="191" t="s">
        <v>1505</v>
      </c>
      <c r="R334" s="390" t="s">
        <v>4141</v>
      </c>
      <c r="AA334" s="248"/>
      <c r="AB334" s="243"/>
    </row>
    <row r="335" spans="2:28" ht="15.75" thickBot="1">
      <c r="B335" s="240" t="str">
        <f t="shared" si="19"/>
        <v>Maksymalne wymiary ramki to 2500x1300mm</v>
      </c>
      <c r="M335" s="233" t="s">
        <v>659</v>
      </c>
      <c r="N335" s="191" t="s">
        <v>667</v>
      </c>
      <c r="O335" s="191" t="s">
        <v>668</v>
      </c>
      <c r="P335" s="191" t="s">
        <v>669</v>
      </c>
      <c r="Q335" s="191" t="s">
        <v>1634</v>
      </c>
      <c r="R335" s="390" t="s">
        <v>4142</v>
      </c>
      <c r="AA335" s="251"/>
      <c r="AB335" s="250"/>
    </row>
    <row r="336" spans="2:28">
      <c r="B336" s="240" t="str">
        <f t="shared" si="19"/>
        <v>Minimalna odległość zawiasu od krawędzi ramki jest 70mm</v>
      </c>
      <c r="M336" s="233" t="s">
        <v>660</v>
      </c>
      <c r="N336" s="191" t="s">
        <v>670</v>
      </c>
      <c r="O336" s="191" t="s">
        <v>671</v>
      </c>
      <c r="P336" s="191" t="s">
        <v>672</v>
      </c>
      <c r="Q336" s="191" t="s">
        <v>1506</v>
      </c>
      <c r="R336" s="390" t="s">
        <v>4143</v>
      </c>
      <c r="AA336" s="248"/>
      <c r="AB336" s="243"/>
    </row>
    <row r="337" spans="2:28" ht="15.75" thickBot="1">
      <c r="B337" s="240" t="str">
        <f t="shared" si="19"/>
        <v>Minimalna odległość zawiasu od krawędzi ramki jest 80mm</v>
      </c>
      <c r="M337" s="233" t="s">
        <v>661</v>
      </c>
      <c r="N337" s="191" t="s">
        <v>673</v>
      </c>
      <c r="O337" s="191" t="s">
        <v>674</v>
      </c>
      <c r="P337" s="191" t="s">
        <v>675</v>
      </c>
      <c r="Q337" s="191" t="s">
        <v>1507</v>
      </c>
      <c r="R337" s="390" t="s">
        <v>4144</v>
      </c>
      <c r="AA337" s="251"/>
      <c r="AB337" s="250"/>
    </row>
    <row r="338" spans="2:28" ht="15.75" thickBot="1">
      <c r="B338" s="240" t="str">
        <f t="shared" si="19"/>
        <v>Nakładany Clip</v>
      </c>
      <c r="M338" s="233" t="s">
        <v>65</v>
      </c>
      <c r="N338" s="191" t="s">
        <v>65</v>
      </c>
      <c r="O338" s="191" t="s">
        <v>218</v>
      </c>
      <c r="P338" s="191" t="s">
        <v>284</v>
      </c>
      <c r="Q338" s="191" t="s">
        <v>1569</v>
      </c>
      <c r="R338" s="390" t="s">
        <v>4023</v>
      </c>
      <c r="AA338" s="251"/>
      <c r="AB338" s="250"/>
    </row>
    <row r="339" spans="2:28">
      <c r="B339" s="240" t="str">
        <f t="shared" si="19"/>
        <v>Półnakładany Clip</v>
      </c>
      <c r="M339" s="233" t="s">
        <v>66</v>
      </c>
      <c r="N339" s="191" t="s">
        <v>66</v>
      </c>
      <c r="O339" s="191" t="s">
        <v>219</v>
      </c>
      <c r="P339" s="191" t="s">
        <v>1361</v>
      </c>
      <c r="Q339" s="191" t="s">
        <v>1570</v>
      </c>
      <c r="R339" s="390" t="s">
        <v>4024</v>
      </c>
      <c r="AB339" s="244"/>
    </row>
    <row r="340" spans="2:28">
      <c r="B340" s="240" t="str">
        <f t="shared" si="19"/>
        <v>Wpuszczany Clip</v>
      </c>
      <c r="M340" s="233" t="s">
        <v>67</v>
      </c>
      <c r="N340" s="191" t="s">
        <v>67</v>
      </c>
      <c r="O340" s="191" t="s">
        <v>220</v>
      </c>
      <c r="P340" s="191" t="s">
        <v>1362</v>
      </c>
      <c r="Q340" s="191" t="s">
        <v>1571</v>
      </c>
      <c r="R340" s="390" t="s">
        <v>4145</v>
      </c>
      <c r="AB340" s="243"/>
    </row>
    <row r="341" spans="2:28">
      <c r="B341" s="240" t="str">
        <f t="shared" si="19"/>
        <v>Kąt 45°</v>
      </c>
      <c r="M341" s="233" t="s">
        <v>68</v>
      </c>
      <c r="N341" s="191" t="s">
        <v>162</v>
      </c>
      <c r="O341" s="191" t="s">
        <v>221</v>
      </c>
      <c r="P341" s="191" t="s">
        <v>285</v>
      </c>
      <c r="Q341" s="191" t="s">
        <v>1470</v>
      </c>
      <c r="R341" s="390" t="s">
        <v>4026</v>
      </c>
      <c r="AB341" s="243"/>
    </row>
    <row r="342" spans="2:28">
      <c r="B342" s="240" t="str">
        <f t="shared" si="19"/>
        <v>Nakładany</v>
      </c>
      <c r="M342" s="233" t="s">
        <v>69</v>
      </c>
      <c r="N342" s="191" t="s">
        <v>163</v>
      </c>
      <c r="O342" s="191" t="s">
        <v>222</v>
      </c>
      <c r="P342" s="191" t="s">
        <v>286</v>
      </c>
      <c r="Q342" s="191" t="s">
        <v>1572</v>
      </c>
      <c r="R342" s="390" t="s">
        <v>4027</v>
      </c>
      <c r="AB342" s="243"/>
    </row>
    <row r="343" spans="2:28">
      <c r="B343" s="240" t="str">
        <f t="shared" si="19"/>
        <v>Półnakładany</v>
      </c>
      <c r="M343" s="233" t="s">
        <v>70</v>
      </c>
      <c r="N343" s="191" t="s">
        <v>164</v>
      </c>
      <c r="O343" s="191" t="s">
        <v>223</v>
      </c>
      <c r="P343" s="191" t="s">
        <v>1363</v>
      </c>
      <c r="Q343" s="191" t="s">
        <v>1573</v>
      </c>
      <c r="R343" s="390" t="s">
        <v>4028</v>
      </c>
      <c r="AB343" s="243"/>
    </row>
    <row r="344" spans="2:28">
      <c r="B344" s="240" t="str">
        <f t="shared" si="19"/>
        <v xml:space="preserve">Wpuszczany </v>
      </c>
      <c r="M344" s="233" t="s">
        <v>71</v>
      </c>
      <c r="N344" s="191" t="s">
        <v>165</v>
      </c>
      <c r="O344" s="191" t="s">
        <v>224</v>
      </c>
      <c r="P344" s="191" t="s">
        <v>1364</v>
      </c>
      <c r="Q344" s="191" t="s">
        <v>991</v>
      </c>
      <c r="R344" s="390" t="s">
        <v>4029</v>
      </c>
      <c r="AB344" s="243"/>
    </row>
    <row r="345" spans="2:28">
      <c r="B345" s="240" t="str">
        <f t="shared" si="19"/>
        <v>Kąt 45°</v>
      </c>
      <c r="M345" s="233" t="s">
        <v>68</v>
      </c>
      <c r="N345" s="191" t="s">
        <v>162</v>
      </c>
      <c r="O345" s="191" t="s">
        <v>221</v>
      </c>
      <c r="P345" s="191" t="s">
        <v>285</v>
      </c>
      <c r="Q345" s="191" t="s">
        <v>1470</v>
      </c>
      <c r="R345" s="390" t="s">
        <v>4026</v>
      </c>
      <c r="AB345" s="243"/>
    </row>
    <row r="346" spans="2:28" ht="15.75" thickBot="1">
      <c r="B346" s="240" t="str">
        <f t="shared" si="19"/>
        <v>Nakładany z odwrotną funkcją sprężyny</v>
      </c>
      <c r="M346" s="233" t="s">
        <v>72</v>
      </c>
      <c r="N346" s="191" t="s">
        <v>72</v>
      </c>
      <c r="O346" s="191" t="s">
        <v>225</v>
      </c>
      <c r="P346" s="191" t="s">
        <v>289</v>
      </c>
      <c r="Q346" s="191" t="s">
        <v>1574</v>
      </c>
      <c r="R346" s="390" t="s">
        <v>4030</v>
      </c>
      <c r="AB346" s="250"/>
    </row>
    <row r="347" spans="2:28">
      <c r="B347" s="240" t="str">
        <f t="shared" si="19"/>
        <v>Wpuszczany z odwrotną funkcją sprężyny</v>
      </c>
      <c r="M347" s="233" t="s">
        <v>73</v>
      </c>
      <c r="N347" s="191" t="s">
        <v>73</v>
      </c>
      <c r="O347" s="191" t="s">
        <v>226</v>
      </c>
      <c r="P347" s="191" t="s">
        <v>1365</v>
      </c>
      <c r="Q347" s="191" t="s">
        <v>1575</v>
      </c>
      <c r="R347" s="390" t="s">
        <v>4031</v>
      </c>
      <c r="AB347" s="243"/>
    </row>
    <row r="348" spans="2:28" ht="15.75" thickBot="1">
      <c r="B348" s="240" t="str">
        <f t="shared" si="19"/>
        <v>Clip na wkręt H2</v>
      </c>
      <c r="M348" s="233" t="s">
        <v>89</v>
      </c>
      <c r="N348" s="191" t="s">
        <v>166</v>
      </c>
      <c r="O348" s="191" t="s">
        <v>227</v>
      </c>
      <c r="P348" s="191" t="s">
        <v>290</v>
      </c>
      <c r="Q348" s="191" t="s">
        <v>1576</v>
      </c>
      <c r="R348" s="390" t="s">
        <v>4032</v>
      </c>
      <c r="AB348" s="250"/>
    </row>
    <row r="349" spans="2:28" ht="15.75" thickBot="1">
      <c r="B349" s="240" t="str">
        <f t="shared" si="19"/>
        <v>Clip na wkręt H4</v>
      </c>
      <c r="M349" s="233" t="s">
        <v>90</v>
      </c>
      <c r="N349" s="191" t="s">
        <v>167</v>
      </c>
      <c r="O349" s="191" t="s">
        <v>228</v>
      </c>
      <c r="P349" s="191" t="s">
        <v>291</v>
      </c>
      <c r="Q349" s="191" t="s">
        <v>1577</v>
      </c>
      <c r="R349" s="390" t="s">
        <v>4033</v>
      </c>
      <c r="AB349" s="250"/>
    </row>
    <row r="350" spans="2:28">
      <c r="B350" s="240" t="str">
        <f t="shared" si="19"/>
        <v>Clip na wkręt euro H2</v>
      </c>
      <c r="M350" s="233" t="s">
        <v>91</v>
      </c>
      <c r="N350" s="191" t="s">
        <v>168</v>
      </c>
      <c r="O350" s="191" t="s">
        <v>229</v>
      </c>
      <c r="P350" s="191" t="s">
        <v>292</v>
      </c>
      <c r="Q350" s="191" t="s">
        <v>1578</v>
      </c>
      <c r="R350" s="390" t="s">
        <v>4401</v>
      </c>
    </row>
    <row r="351" spans="2:28">
      <c r="B351" s="240" t="str">
        <f t="shared" si="19"/>
        <v>Clip na wkręt euro H4</v>
      </c>
      <c r="M351" s="233" t="s">
        <v>92</v>
      </c>
      <c r="N351" s="191" t="s">
        <v>169</v>
      </c>
      <c r="O351" s="191" t="s">
        <v>230</v>
      </c>
      <c r="P351" s="191" t="s">
        <v>293</v>
      </c>
      <c r="Q351" s="191" t="s">
        <v>1579</v>
      </c>
      <c r="R351" s="390" t="s">
        <v>4034</v>
      </c>
    </row>
    <row r="352" spans="2:28">
      <c r="B352" s="240" t="str">
        <f t="shared" si="19"/>
        <v>Slide on na wkręt H2</v>
      </c>
      <c r="M352" s="233" t="s">
        <v>93</v>
      </c>
      <c r="N352" s="191" t="s">
        <v>170</v>
      </c>
      <c r="O352" s="191" t="s">
        <v>231</v>
      </c>
      <c r="P352" s="191" t="s">
        <v>294</v>
      </c>
      <c r="Q352" s="191" t="s">
        <v>1580</v>
      </c>
      <c r="R352" s="390" t="s">
        <v>4035</v>
      </c>
    </row>
    <row r="353" spans="2:18">
      <c r="B353" s="240" t="str">
        <f t="shared" si="19"/>
        <v>Slide on na wkręt H4</v>
      </c>
      <c r="M353" s="233" t="s">
        <v>94</v>
      </c>
      <c r="N353" s="191" t="s">
        <v>171</v>
      </c>
      <c r="O353" s="191" t="s">
        <v>232</v>
      </c>
      <c r="P353" s="191" t="s">
        <v>295</v>
      </c>
      <c r="Q353" s="191" t="s">
        <v>1581</v>
      </c>
      <c r="R353" s="390" t="s">
        <v>4036</v>
      </c>
    </row>
    <row r="354" spans="2:18">
      <c r="B354" s="240" t="str">
        <f t="shared" si="19"/>
        <v>Slide on na euro wkręt H2</v>
      </c>
      <c r="M354" s="233" t="s">
        <v>95</v>
      </c>
      <c r="N354" s="191" t="s">
        <v>172</v>
      </c>
      <c r="O354" s="191" t="s">
        <v>233</v>
      </c>
      <c r="P354" s="191" t="s">
        <v>296</v>
      </c>
      <c r="Q354" s="191" t="s">
        <v>1582</v>
      </c>
      <c r="R354" s="390" t="s">
        <v>4037</v>
      </c>
    </row>
    <row r="355" spans="2:18">
      <c r="B355" s="240" t="str">
        <f t="shared" si="19"/>
        <v>Slide on na euro wkręt H4</v>
      </c>
      <c r="M355" s="233" t="s">
        <v>96</v>
      </c>
      <c r="N355" s="191" t="s">
        <v>173</v>
      </c>
      <c r="O355" s="191" t="s">
        <v>234</v>
      </c>
      <c r="P355" s="191" t="s">
        <v>297</v>
      </c>
      <c r="Q355" s="191" t="s">
        <v>1583</v>
      </c>
      <c r="R355" s="390" t="s">
        <v>4038</v>
      </c>
    </row>
    <row r="356" spans="2:18">
      <c r="B356" s="240" t="str">
        <f t="shared" si="19"/>
        <v>Nakładany Clip</v>
      </c>
      <c r="M356" s="233" t="s">
        <v>65</v>
      </c>
      <c r="N356" s="191" t="s">
        <v>65</v>
      </c>
      <c r="O356" s="191" t="s">
        <v>218</v>
      </c>
      <c r="P356" s="191" t="s">
        <v>284</v>
      </c>
      <c r="Q356" s="191" t="s">
        <v>1569</v>
      </c>
      <c r="R356" s="390" t="s">
        <v>4023</v>
      </c>
    </row>
    <row r="357" spans="2:18">
      <c r="B357" s="240" t="str">
        <f t="shared" si="19"/>
        <v>Półnakładany Clip</v>
      </c>
      <c r="M357" s="233" t="s">
        <v>66</v>
      </c>
      <c r="N357" s="191" t="s">
        <v>66</v>
      </c>
      <c r="O357" s="191" t="s">
        <v>219</v>
      </c>
      <c r="P357" s="191" t="s">
        <v>1361</v>
      </c>
      <c r="Q357" s="191" t="s">
        <v>1570</v>
      </c>
      <c r="R357" s="390" t="s">
        <v>4024</v>
      </c>
    </row>
    <row r="358" spans="2:18">
      <c r="B358" s="240" t="str">
        <f t="shared" si="19"/>
        <v>Wpuszczany Clip</v>
      </c>
      <c r="M358" s="233" t="s">
        <v>67</v>
      </c>
      <c r="N358" s="191" t="s">
        <v>67</v>
      </c>
      <c r="O358" s="191" t="s">
        <v>220</v>
      </c>
      <c r="P358" s="191" t="s">
        <v>1362</v>
      </c>
      <c r="Q358" s="191" t="s">
        <v>1571</v>
      </c>
      <c r="R358" s="390" t="s">
        <v>4025</v>
      </c>
    </row>
    <row r="359" spans="2:18">
      <c r="B359" s="240" t="str">
        <f t="shared" si="19"/>
        <v>45° clip</v>
      </c>
      <c r="M359" s="233" t="s">
        <v>0</v>
      </c>
      <c r="N359" s="191" t="s">
        <v>180</v>
      </c>
      <c r="O359" s="191" t="s">
        <v>0</v>
      </c>
      <c r="P359" s="191" t="s">
        <v>1368</v>
      </c>
      <c r="Q359" s="191" t="s">
        <v>1593</v>
      </c>
      <c r="R359" s="390" t="s">
        <v>4049</v>
      </c>
    </row>
    <row r="360" spans="2:18">
      <c r="B360" s="240" t="str">
        <f t="shared" si="19"/>
        <v xml:space="preserve">StrongHinges Clip na wkręt euro H0 </v>
      </c>
      <c r="M360" s="233" t="s">
        <v>2459</v>
      </c>
      <c r="N360" s="191" t="s">
        <v>2460</v>
      </c>
      <c r="O360" s="191" t="s">
        <v>2461</v>
      </c>
      <c r="P360" s="191" t="s">
        <v>2462</v>
      </c>
      <c r="Q360" s="191" t="s">
        <v>2463</v>
      </c>
      <c r="R360" s="390" t="s">
        <v>4146</v>
      </c>
    </row>
    <row r="361" spans="2:18">
      <c r="B361" s="240" t="str">
        <f t="shared" si="19"/>
        <v>StrongHinges Clip na wkręt H0</v>
      </c>
      <c r="M361" s="233" t="s">
        <v>2464</v>
      </c>
      <c r="N361" s="191" t="s">
        <v>2465</v>
      </c>
      <c r="O361" s="191" t="s">
        <v>2466</v>
      </c>
      <c r="P361" s="191" t="s">
        <v>2467</v>
      </c>
      <c r="Q361" s="191" t="s">
        <v>2468</v>
      </c>
      <c r="R361" s="390" t="s">
        <v>4147</v>
      </c>
    </row>
    <row r="362" spans="2:18">
      <c r="B362" s="240" t="str">
        <f t="shared" ref="B362:B425" si="20">IF($D$1=1,M362,IF($D$1=2,N362,IF($D$1=3,O362,IF($D$1=4,P362,IF($D$1=5,Q362,IF($D$1=6,R362,0))))))</f>
        <v>StrongHinges Clip na wkręt euro H2</v>
      </c>
      <c r="M362" s="233" t="s">
        <v>2469</v>
      </c>
      <c r="N362" s="191" t="s">
        <v>2470</v>
      </c>
      <c r="O362" s="191" t="s">
        <v>2471</v>
      </c>
      <c r="P362" s="191" t="s">
        <v>2472</v>
      </c>
      <c r="Q362" s="191" t="s">
        <v>2473</v>
      </c>
      <c r="R362" s="390" t="s">
        <v>4148</v>
      </c>
    </row>
    <row r="363" spans="2:18">
      <c r="B363" s="240" t="str">
        <f t="shared" si="20"/>
        <v>StrongHinges Clip na wkręt H2</v>
      </c>
      <c r="M363" s="233" t="s">
        <v>2474</v>
      </c>
      <c r="N363" s="191" t="s">
        <v>2475</v>
      </c>
      <c r="O363" s="191" t="s">
        <v>2476</v>
      </c>
      <c r="P363" s="191" t="s">
        <v>2477</v>
      </c>
      <c r="Q363" s="191" t="s">
        <v>2478</v>
      </c>
      <c r="R363" s="390" t="s">
        <v>4149</v>
      </c>
    </row>
    <row r="364" spans="2:18">
      <c r="B364" s="240" t="str">
        <f t="shared" si="20"/>
        <v>Nakładany Clip</v>
      </c>
      <c r="M364" s="233" t="s">
        <v>65</v>
      </c>
      <c r="N364" s="191" t="s">
        <v>65</v>
      </c>
      <c r="O364" s="191" t="s">
        <v>218</v>
      </c>
      <c r="P364" s="191" t="s">
        <v>284</v>
      </c>
      <c r="Q364" s="191" t="s">
        <v>1569</v>
      </c>
      <c r="R364" s="390" t="s">
        <v>4023</v>
      </c>
    </row>
    <row r="365" spans="2:18">
      <c r="B365" s="240" t="str">
        <f t="shared" si="20"/>
        <v>Nakładany Clip</v>
      </c>
      <c r="M365" s="233" t="s">
        <v>65</v>
      </c>
      <c r="N365" s="191" t="s">
        <v>65</v>
      </c>
      <c r="O365" s="191" t="s">
        <v>218</v>
      </c>
      <c r="P365" s="191" t="s">
        <v>284</v>
      </c>
      <c r="Q365" s="191" t="s">
        <v>1569</v>
      </c>
      <c r="R365" s="390" t="s">
        <v>4023</v>
      </c>
    </row>
    <row r="366" spans="2:18">
      <c r="B366" s="240" t="str">
        <f t="shared" si="20"/>
        <v>Półnakładany Clip</v>
      </c>
      <c r="M366" s="233" t="s">
        <v>66</v>
      </c>
      <c r="N366" s="191" t="s">
        <v>66</v>
      </c>
      <c r="O366" s="191" t="s">
        <v>219</v>
      </c>
      <c r="P366" s="191" t="s">
        <v>1361</v>
      </c>
      <c r="Q366" s="191" t="s">
        <v>1570</v>
      </c>
      <c r="R366" s="390" t="s">
        <v>4024</v>
      </c>
    </row>
    <row r="367" spans="2:18">
      <c r="B367" s="240" t="str">
        <f t="shared" si="20"/>
        <v>Wpuszczany Clip</v>
      </c>
      <c r="M367" s="233" t="s">
        <v>67</v>
      </c>
      <c r="N367" s="191" t="s">
        <v>67</v>
      </c>
      <c r="O367" s="191" t="s">
        <v>220</v>
      </c>
      <c r="P367" s="191" t="s">
        <v>1362</v>
      </c>
      <c r="Q367" s="191" t="s">
        <v>1571</v>
      </c>
      <c r="R367" s="390" t="s">
        <v>4025</v>
      </c>
    </row>
    <row r="368" spans="2:18">
      <c r="B368" s="240" t="str">
        <f t="shared" si="20"/>
        <v>45° clip</v>
      </c>
      <c r="M368" s="233" t="s">
        <v>0</v>
      </c>
      <c r="N368" s="191" t="s">
        <v>180</v>
      </c>
      <c r="O368" s="191" t="s">
        <v>0</v>
      </c>
      <c r="P368" s="191" t="s">
        <v>1368</v>
      </c>
      <c r="Q368" s="191" t="s">
        <v>1593</v>
      </c>
      <c r="R368" s="390" t="s">
        <v>4049</v>
      </c>
    </row>
    <row r="369" spans="2:18">
      <c r="B369" s="240" t="str">
        <f t="shared" si="20"/>
        <v xml:space="preserve">Clip na wkręt euro H0 </v>
      </c>
      <c r="M369" s="233" t="s">
        <v>88</v>
      </c>
      <c r="N369" s="191" t="s">
        <v>181</v>
      </c>
      <c r="O369" s="191" t="s">
        <v>242</v>
      </c>
      <c r="P369" s="191" t="s">
        <v>305</v>
      </c>
      <c r="Q369" s="191" t="s">
        <v>1594</v>
      </c>
      <c r="R369" s="390" t="s">
        <v>4150</v>
      </c>
    </row>
    <row r="370" spans="2:18">
      <c r="B370" s="240" t="str">
        <f t="shared" si="20"/>
        <v>Clip na wkręt H0</v>
      </c>
      <c r="M370" s="233" t="s">
        <v>87</v>
      </c>
      <c r="N370" s="191" t="s">
        <v>182</v>
      </c>
      <c r="O370" s="191" t="s">
        <v>243</v>
      </c>
      <c r="P370" s="191" t="s">
        <v>306</v>
      </c>
      <c r="Q370" s="191" t="s">
        <v>1595</v>
      </c>
      <c r="R370" s="390" t="s">
        <v>4051</v>
      </c>
    </row>
    <row r="371" spans="2:18">
      <c r="B371" s="240" t="str">
        <f t="shared" si="20"/>
        <v>Clip na wkręt euro H2</v>
      </c>
      <c r="M371" s="233" t="s">
        <v>91</v>
      </c>
      <c r="N371" s="191" t="s">
        <v>168</v>
      </c>
      <c r="O371" s="191" t="s">
        <v>229</v>
      </c>
      <c r="P371" s="191" t="s">
        <v>292</v>
      </c>
      <c r="Q371" s="191" t="s">
        <v>1578</v>
      </c>
      <c r="R371" s="390" t="s">
        <v>4151</v>
      </c>
    </row>
    <row r="372" spans="2:18">
      <c r="B372" s="240" t="str">
        <f t="shared" si="20"/>
        <v>Sensys nakładany z tłumieniem</v>
      </c>
      <c r="M372" s="233" t="s">
        <v>580</v>
      </c>
      <c r="N372" s="191" t="s">
        <v>676</v>
      </c>
      <c r="O372" s="191" t="s">
        <v>677</v>
      </c>
      <c r="P372" s="191" t="s">
        <v>678</v>
      </c>
      <c r="Q372" s="191" t="s">
        <v>1635</v>
      </c>
      <c r="R372" s="390" t="s">
        <v>4152</v>
      </c>
    </row>
    <row r="373" spans="2:18">
      <c r="B373" s="240" t="str">
        <f t="shared" si="20"/>
        <v>Sensys półnakładany z tłumieniem</v>
      </c>
      <c r="M373" s="233" t="s">
        <v>581</v>
      </c>
      <c r="N373" s="191" t="s">
        <v>679</v>
      </c>
      <c r="O373" s="191" t="s">
        <v>680</v>
      </c>
      <c r="P373" s="191" t="s">
        <v>1386</v>
      </c>
      <c r="Q373" s="191" t="s">
        <v>1636</v>
      </c>
      <c r="R373" s="390" t="s">
        <v>4153</v>
      </c>
    </row>
    <row r="374" spans="2:18">
      <c r="B374" s="240" t="str">
        <f t="shared" si="20"/>
        <v>Sensys wpuszczany z tłumieniem</v>
      </c>
      <c r="M374" s="233" t="s">
        <v>582</v>
      </c>
      <c r="N374" s="191" t="s">
        <v>681</v>
      </c>
      <c r="O374" s="191" t="s">
        <v>682</v>
      </c>
      <c r="P374" s="191" t="s">
        <v>1387</v>
      </c>
      <c r="Q374" s="191" t="s">
        <v>1637</v>
      </c>
      <c r="R374" s="390" t="s">
        <v>4154</v>
      </c>
    </row>
    <row r="375" spans="2:18">
      <c r="B375" s="240" t="str">
        <f t="shared" si="20"/>
        <v>Sensys równoległy z tłumieniem</v>
      </c>
      <c r="M375" s="233" t="s">
        <v>583</v>
      </c>
      <c r="N375" s="191" t="s">
        <v>683</v>
      </c>
      <c r="O375" s="191" t="s">
        <v>684</v>
      </c>
      <c r="P375" s="191" t="s">
        <v>685</v>
      </c>
      <c r="Q375" s="191" t="s">
        <v>1638</v>
      </c>
      <c r="R375" s="394" t="s">
        <v>4155</v>
      </c>
    </row>
    <row r="376" spans="2:18">
      <c r="B376" s="240" t="str">
        <f t="shared" si="20"/>
        <v>Sensys nakładany bez tłumienia</v>
      </c>
      <c r="M376" s="233" t="s">
        <v>584</v>
      </c>
      <c r="N376" s="191" t="s">
        <v>686</v>
      </c>
      <c r="O376" s="191" t="s">
        <v>687</v>
      </c>
      <c r="P376" s="191" t="s">
        <v>688</v>
      </c>
      <c r="Q376" s="191" t="s">
        <v>1639</v>
      </c>
      <c r="R376" s="390" t="s">
        <v>4156</v>
      </c>
    </row>
    <row r="377" spans="2:18">
      <c r="B377" s="240" t="str">
        <f t="shared" si="20"/>
        <v>Intermat nakładany</v>
      </c>
      <c r="M377" s="233" t="s">
        <v>585</v>
      </c>
      <c r="N377" s="191" t="s">
        <v>585</v>
      </c>
      <c r="O377" s="191" t="s">
        <v>689</v>
      </c>
      <c r="P377" s="191" t="s">
        <v>690</v>
      </c>
      <c r="Q377" s="191" t="s">
        <v>1640</v>
      </c>
      <c r="R377" s="390" t="s">
        <v>4157</v>
      </c>
    </row>
    <row r="378" spans="2:18">
      <c r="B378" s="240" t="str">
        <f t="shared" si="20"/>
        <v>Intermat nakładany 125°</v>
      </c>
      <c r="M378" s="233" t="s">
        <v>586</v>
      </c>
      <c r="N378" s="191" t="s">
        <v>586</v>
      </c>
      <c r="O378" s="191" t="s">
        <v>691</v>
      </c>
      <c r="P378" s="191" t="s">
        <v>692</v>
      </c>
      <c r="Q378" s="191" t="s">
        <v>1641</v>
      </c>
      <c r="R378" s="390" t="s">
        <v>4158</v>
      </c>
    </row>
    <row r="379" spans="2:18">
      <c r="B379" s="240" t="str">
        <f t="shared" si="20"/>
        <v>Intermat półnakładany</v>
      </c>
      <c r="M379" s="233" t="s">
        <v>587</v>
      </c>
      <c r="N379" s="191" t="s">
        <v>587</v>
      </c>
      <c r="O379" s="191" t="s">
        <v>693</v>
      </c>
      <c r="P379" s="191" t="s">
        <v>1388</v>
      </c>
      <c r="Q379" s="191" t="s">
        <v>1642</v>
      </c>
      <c r="R379" s="390" t="s">
        <v>4402</v>
      </c>
    </row>
    <row r="380" spans="2:18">
      <c r="B380" s="240" t="str">
        <f t="shared" si="20"/>
        <v>Intermat wpuszczany</v>
      </c>
      <c r="M380" s="233" t="s">
        <v>588</v>
      </c>
      <c r="N380" s="191" t="s">
        <v>588</v>
      </c>
      <c r="O380" s="191" t="s">
        <v>694</v>
      </c>
      <c r="P380" s="191" t="s">
        <v>1389</v>
      </c>
      <c r="Q380" s="191" t="s">
        <v>1508</v>
      </c>
      <c r="R380" s="390" t="s">
        <v>4159</v>
      </c>
    </row>
    <row r="381" spans="2:18">
      <c r="B381" s="240" t="str">
        <f t="shared" si="20"/>
        <v>Intermat równoległy</v>
      </c>
      <c r="M381" s="233" t="s">
        <v>589</v>
      </c>
      <c r="N381" s="191" t="s">
        <v>695</v>
      </c>
      <c r="O381" s="191" t="s">
        <v>696</v>
      </c>
      <c r="P381" s="191" t="s">
        <v>697</v>
      </c>
      <c r="Q381" s="191" t="s">
        <v>1643</v>
      </c>
      <c r="R381" s="390" t="s">
        <v>4160</v>
      </c>
    </row>
    <row r="382" spans="2:18">
      <c r="B382" s="240" t="str">
        <f t="shared" si="20"/>
        <v>Sensys nakładany bez tłumienia</v>
      </c>
      <c r="M382" s="233" t="s">
        <v>608</v>
      </c>
      <c r="N382" s="191" t="s">
        <v>698</v>
      </c>
      <c r="O382" s="191" t="s">
        <v>687</v>
      </c>
      <c r="P382" s="191" t="s">
        <v>688</v>
      </c>
      <c r="Q382" s="191" t="s">
        <v>1644</v>
      </c>
      <c r="R382" s="390" t="s">
        <v>4156</v>
      </c>
    </row>
    <row r="383" spans="2:18">
      <c r="B383" s="240" t="str">
        <f t="shared" si="20"/>
        <v>Sensys wpuszczany bez tłumienia</v>
      </c>
      <c r="M383" s="233" t="s">
        <v>609</v>
      </c>
      <c r="N383" s="191" t="s">
        <v>699</v>
      </c>
      <c r="O383" s="191" t="s">
        <v>700</v>
      </c>
      <c r="P383" s="191" t="s">
        <v>1390</v>
      </c>
      <c r="Q383" s="191" t="s">
        <v>1645</v>
      </c>
      <c r="R383" s="390" t="s">
        <v>4161</v>
      </c>
    </row>
    <row r="384" spans="2:18">
      <c r="B384" s="240" t="str">
        <f t="shared" si="20"/>
        <v>Sensys nakładany z tłumieniem</v>
      </c>
      <c r="M384" s="233" t="s">
        <v>580</v>
      </c>
      <c r="N384" s="191" t="s">
        <v>676</v>
      </c>
      <c r="O384" s="191" t="s">
        <v>677</v>
      </c>
      <c r="P384" s="191" t="s">
        <v>678</v>
      </c>
      <c r="Q384" s="191" t="s">
        <v>1635</v>
      </c>
      <c r="R384" s="390" t="s">
        <v>4152</v>
      </c>
    </row>
    <row r="385" spans="2:18">
      <c r="B385" s="240" t="str">
        <f t="shared" si="20"/>
        <v>Sensys wpuszczany z tłumieniem</v>
      </c>
      <c r="M385" s="233" t="s">
        <v>582</v>
      </c>
      <c r="N385" s="191" t="s">
        <v>681</v>
      </c>
      <c r="O385" s="191" t="s">
        <v>682</v>
      </c>
      <c r="P385" s="191" t="s">
        <v>1387</v>
      </c>
      <c r="Q385" s="191" t="s">
        <v>1637</v>
      </c>
      <c r="R385" s="390" t="s">
        <v>4154</v>
      </c>
    </row>
    <row r="386" spans="2:18">
      <c r="B386" s="240" t="str">
        <f t="shared" si="20"/>
        <v>Intermat nakładany</v>
      </c>
      <c r="M386" s="233" t="s">
        <v>585</v>
      </c>
      <c r="N386" s="191" t="s">
        <v>585</v>
      </c>
      <c r="O386" s="191" t="s">
        <v>689</v>
      </c>
      <c r="P386" s="191" t="s">
        <v>690</v>
      </c>
      <c r="Q386" s="191" t="s">
        <v>1640</v>
      </c>
      <c r="R386" s="390" t="s">
        <v>4157</v>
      </c>
    </row>
    <row r="387" spans="2:18">
      <c r="B387" s="240" t="str">
        <f t="shared" si="20"/>
        <v>Intermat wpuszczany</v>
      </c>
      <c r="M387" s="233" t="s">
        <v>588</v>
      </c>
      <c r="N387" s="191" t="s">
        <v>588</v>
      </c>
      <c r="O387" s="191" t="s">
        <v>694</v>
      </c>
      <c r="P387" s="191" t="s">
        <v>1389</v>
      </c>
      <c r="Q387" s="191" t="s">
        <v>1508</v>
      </c>
      <c r="R387" s="390" t="s">
        <v>4159</v>
      </c>
    </row>
    <row r="388" spans="2:18">
      <c r="B388" s="240" t="str">
        <f t="shared" si="20"/>
        <v>prowadnik na wkręt</v>
      </c>
      <c r="M388" s="233" t="s">
        <v>656</v>
      </c>
      <c r="N388" s="191" t="s">
        <v>656</v>
      </c>
      <c r="O388" s="191" t="s">
        <v>701</v>
      </c>
      <c r="P388" s="191" t="s">
        <v>702</v>
      </c>
      <c r="Q388" s="191" t="s">
        <v>1646</v>
      </c>
      <c r="R388" s="394" t="s">
        <v>4162</v>
      </c>
    </row>
    <row r="389" spans="2:18">
      <c r="B389" s="240" t="str">
        <f t="shared" si="20"/>
        <v>prowadnik na Eurowkręt</v>
      </c>
      <c r="M389" s="233" t="s">
        <v>590</v>
      </c>
      <c r="N389" s="191" t="s">
        <v>590</v>
      </c>
      <c r="O389" s="191" t="s">
        <v>703</v>
      </c>
      <c r="P389" s="191" t="s">
        <v>704</v>
      </c>
      <c r="Q389" s="191" t="s">
        <v>1647</v>
      </c>
      <c r="R389" s="394" t="s">
        <v>4163</v>
      </c>
    </row>
    <row r="390" spans="2:18">
      <c r="B390" s="240" t="str">
        <f t="shared" si="20"/>
        <v>prowadnik z kołkiem rozporowym</v>
      </c>
      <c r="M390" s="233" t="s">
        <v>591</v>
      </c>
      <c r="N390" s="191" t="s">
        <v>705</v>
      </c>
      <c r="O390" s="191" t="s">
        <v>706</v>
      </c>
      <c r="P390" s="191" t="s">
        <v>707</v>
      </c>
      <c r="Q390" s="191" t="s">
        <v>1648</v>
      </c>
      <c r="R390" s="394" t="s">
        <v>4164</v>
      </c>
    </row>
    <row r="391" spans="2:18">
      <c r="B391" s="240" t="str">
        <f t="shared" si="20"/>
        <v>Nakładany Clip</v>
      </c>
      <c r="M391" s="233" t="s">
        <v>657</v>
      </c>
      <c r="N391" s="191" t="s">
        <v>65</v>
      </c>
      <c r="O391" s="191" t="s">
        <v>218</v>
      </c>
      <c r="P391" s="191" t="s">
        <v>284</v>
      </c>
      <c r="Q391" s="191" t="s">
        <v>1569</v>
      </c>
      <c r="R391" s="390" t="s">
        <v>4023</v>
      </c>
    </row>
    <row r="392" spans="2:18">
      <c r="B392" s="240" t="str">
        <f t="shared" si="20"/>
        <v>Półnakładany Clip</v>
      </c>
      <c r="M392" s="233" t="s">
        <v>658</v>
      </c>
      <c r="N392" s="191" t="s">
        <v>66</v>
      </c>
      <c r="O392" s="191" t="s">
        <v>219</v>
      </c>
      <c r="P392" s="191" t="s">
        <v>1361</v>
      </c>
      <c r="Q392" s="191" t="s">
        <v>1570</v>
      </c>
      <c r="R392" s="390" t="s">
        <v>4024</v>
      </c>
    </row>
    <row r="393" spans="2:18">
      <c r="B393" s="240" t="str">
        <f t="shared" si="20"/>
        <v>Wpuszczany Clip</v>
      </c>
      <c r="M393" s="233" t="s">
        <v>67</v>
      </c>
      <c r="N393" s="191" t="s">
        <v>67</v>
      </c>
      <c r="O393" s="191" t="s">
        <v>220</v>
      </c>
      <c r="P393" s="191" t="s">
        <v>1362</v>
      </c>
      <c r="Q393" s="191" t="s">
        <v>1571</v>
      </c>
      <c r="R393" s="390" t="s">
        <v>4025</v>
      </c>
    </row>
    <row r="394" spans="2:18">
      <c r="B394" s="240" t="str">
        <f t="shared" si="20"/>
        <v>nakładany z tłumieniem clip 110°</v>
      </c>
      <c r="M394" s="233" t="s">
        <v>594</v>
      </c>
      <c r="N394" s="191" t="s">
        <v>708</v>
      </c>
      <c r="O394" s="191" t="s">
        <v>709</v>
      </c>
      <c r="P394" s="191" t="s">
        <v>913</v>
      </c>
      <c r="Q394" s="191" t="s">
        <v>1649</v>
      </c>
      <c r="R394" s="390" t="s">
        <v>4165</v>
      </c>
    </row>
    <row r="395" spans="2:18">
      <c r="B395" s="240" t="str">
        <f t="shared" si="20"/>
        <v>półnakładany z tłumieniem clip 110°</v>
      </c>
      <c r="M395" s="233" t="s">
        <v>595</v>
      </c>
      <c r="N395" s="191" t="s">
        <v>710</v>
      </c>
      <c r="O395" s="191" t="s">
        <v>711</v>
      </c>
      <c r="P395" s="191" t="s">
        <v>1391</v>
      </c>
      <c r="Q395" s="191" t="s">
        <v>1650</v>
      </c>
      <c r="R395" s="390" t="s">
        <v>4166</v>
      </c>
    </row>
    <row r="396" spans="2:18">
      <c r="B396" s="240" t="str">
        <f t="shared" si="20"/>
        <v>wpuszczany z tłumieniem clip 110°</v>
      </c>
      <c r="M396" s="233" t="s">
        <v>596</v>
      </c>
      <c r="N396" s="191" t="s">
        <v>712</v>
      </c>
      <c r="O396" s="191" t="s">
        <v>713</v>
      </c>
      <c r="P396" s="191" t="s">
        <v>1392</v>
      </c>
      <c r="Q396" s="191" t="s">
        <v>1651</v>
      </c>
      <c r="R396" s="390" t="s">
        <v>4167</v>
      </c>
    </row>
    <row r="397" spans="2:18">
      <c r="B397" s="240" t="str">
        <f t="shared" si="20"/>
        <v>nakładany bez tłumienia clip 110°</v>
      </c>
      <c r="M397" s="233" t="s">
        <v>597</v>
      </c>
      <c r="N397" s="191" t="s">
        <v>714</v>
      </c>
      <c r="O397" s="191" t="s">
        <v>715</v>
      </c>
      <c r="P397" s="191" t="s">
        <v>914</v>
      </c>
      <c r="Q397" s="191" t="s">
        <v>1652</v>
      </c>
      <c r="R397" s="390" t="s">
        <v>4168</v>
      </c>
    </row>
    <row r="398" spans="2:18">
      <c r="B398" s="240" t="str">
        <f t="shared" si="20"/>
        <v>półnakładany bez tłumienia clip 110°</v>
      </c>
      <c r="M398" s="233" t="s">
        <v>598</v>
      </c>
      <c r="N398" s="191" t="s">
        <v>716</v>
      </c>
      <c r="O398" s="191" t="s">
        <v>717</v>
      </c>
      <c r="P398" s="191" t="s">
        <v>1393</v>
      </c>
      <c r="Q398" s="191" t="s">
        <v>1653</v>
      </c>
      <c r="R398" s="390" t="s">
        <v>4169</v>
      </c>
    </row>
    <row r="399" spans="2:18">
      <c r="B399" s="240" t="str">
        <f t="shared" si="20"/>
        <v>wpuszczany bez tłumienia clip 110°</v>
      </c>
      <c r="M399" s="233" t="s">
        <v>599</v>
      </c>
      <c r="N399" s="191" t="s">
        <v>718</v>
      </c>
      <c r="O399" s="191" t="s">
        <v>719</v>
      </c>
      <c r="P399" s="191" t="s">
        <v>927</v>
      </c>
      <c r="Q399" s="191" t="s">
        <v>1654</v>
      </c>
      <c r="R399" s="390" t="s">
        <v>4170</v>
      </c>
    </row>
    <row r="400" spans="2:18">
      <c r="B400" s="240" t="str">
        <f t="shared" si="20"/>
        <v>nakładany TIP-ON clip 110°</v>
      </c>
      <c r="M400" s="233" t="s">
        <v>600</v>
      </c>
      <c r="N400" s="191" t="s">
        <v>600</v>
      </c>
      <c r="O400" s="191" t="s">
        <v>720</v>
      </c>
      <c r="P400" s="191" t="s">
        <v>915</v>
      </c>
      <c r="Q400" s="191" t="s">
        <v>1655</v>
      </c>
      <c r="R400" s="390" t="s">
        <v>4171</v>
      </c>
    </row>
    <row r="401" spans="2:18">
      <c r="B401" s="240" t="str">
        <f t="shared" si="20"/>
        <v>półnakładany TIP-ON clip 110°</v>
      </c>
      <c r="M401" s="233" t="s">
        <v>601</v>
      </c>
      <c r="N401" s="191" t="s">
        <v>601</v>
      </c>
      <c r="O401" s="191" t="s">
        <v>721</v>
      </c>
      <c r="P401" s="191" t="s">
        <v>1394</v>
      </c>
      <c r="Q401" s="191" t="s">
        <v>1656</v>
      </c>
      <c r="R401" s="390" t="s">
        <v>4172</v>
      </c>
    </row>
    <row r="402" spans="2:18">
      <c r="B402" s="240" t="str">
        <f t="shared" si="20"/>
        <v>wpuszczany TIP-ON clip 110°</v>
      </c>
      <c r="M402" s="233" t="s">
        <v>602</v>
      </c>
      <c r="N402" s="191" t="s">
        <v>602</v>
      </c>
      <c r="O402" s="191" t="s">
        <v>722</v>
      </c>
      <c r="P402" s="191" t="s">
        <v>1395</v>
      </c>
      <c r="Q402" s="191" t="s">
        <v>1657</v>
      </c>
      <c r="R402" s="390" t="s">
        <v>4173</v>
      </c>
    </row>
    <row r="403" spans="2:18">
      <c r="B403" s="240" t="str">
        <f t="shared" si="20"/>
        <v>Nakładany Clip</v>
      </c>
      <c r="M403" s="233" t="s">
        <v>657</v>
      </c>
      <c r="N403" s="191" t="s">
        <v>65</v>
      </c>
      <c r="O403" s="191" t="s">
        <v>218</v>
      </c>
      <c r="P403" s="191" t="s">
        <v>284</v>
      </c>
      <c r="Q403" s="191" t="s">
        <v>1569</v>
      </c>
      <c r="R403" s="390" t="s">
        <v>4023</v>
      </c>
    </row>
    <row r="404" spans="2:18">
      <c r="B404" s="240" t="str">
        <f t="shared" si="20"/>
        <v>Półnakładany Clip</v>
      </c>
      <c r="M404" s="233" t="s">
        <v>658</v>
      </c>
      <c r="N404" s="191" t="s">
        <v>66</v>
      </c>
      <c r="O404" s="191" t="s">
        <v>219</v>
      </c>
      <c r="P404" s="191" t="s">
        <v>1361</v>
      </c>
      <c r="Q404" s="191" t="s">
        <v>1570</v>
      </c>
      <c r="R404" s="390" t="s">
        <v>4024</v>
      </c>
    </row>
    <row r="405" spans="2:18">
      <c r="B405" s="240" t="str">
        <f t="shared" si="20"/>
        <v>Wpuszczany Clip</v>
      </c>
      <c r="M405" s="233" t="s">
        <v>67</v>
      </c>
      <c r="N405" s="191" t="s">
        <v>67</v>
      </c>
      <c r="O405" s="191" t="s">
        <v>220</v>
      </c>
      <c r="P405" s="191" t="s">
        <v>1362</v>
      </c>
      <c r="Q405" s="191" t="s">
        <v>1571</v>
      </c>
      <c r="R405" s="390" t="s">
        <v>4025</v>
      </c>
    </row>
    <row r="406" spans="2:18">
      <c r="B406" s="240" t="str">
        <f t="shared" si="20"/>
        <v>nakładany z tłumieniem clip 95°</v>
      </c>
      <c r="M406" s="233" t="s">
        <v>603</v>
      </c>
      <c r="N406" s="191" t="s">
        <v>723</v>
      </c>
      <c r="O406" s="191" t="s">
        <v>724</v>
      </c>
      <c r="P406" s="191" t="s">
        <v>916</v>
      </c>
      <c r="Q406" s="191" t="s">
        <v>1658</v>
      </c>
      <c r="R406" s="390" t="s">
        <v>4174</v>
      </c>
    </row>
    <row r="407" spans="2:18">
      <c r="B407" s="240" t="str">
        <f t="shared" si="20"/>
        <v>półnakładany z tłumieniem clip 95°</v>
      </c>
      <c r="M407" s="233" t="s">
        <v>604</v>
      </c>
      <c r="N407" s="191" t="s">
        <v>725</v>
      </c>
      <c r="O407" s="191" t="s">
        <v>726</v>
      </c>
      <c r="P407" s="191" t="s">
        <v>1396</v>
      </c>
      <c r="Q407" s="191" t="s">
        <v>1659</v>
      </c>
      <c r="R407" s="390" t="s">
        <v>4175</v>
      </c>
    </row>
    <row r="408" spans="2:18">
      <c r="B408" s="240" t="str">
        <f t="shared" si="20"/>
        <v>wpuszczany z tłumieniem clip 95°</v>
      </c>
      <c r="M408" s="233" t="s">
        <v>605</v>
      </c>
      <c r="N408" s="191" t="s">
        <v>727</v>
      </c>
      <c r="O408" s="191" t="s">
        <v>728</v>
      </c>
      <c r="P408" s="191" t="s">
        <v>1397</v>
      </c>
      <c r="Q408" s="191" t="s">
        <v>1660</v>
      </c>
      <c r="R408" s="390" t="s">
        <v>4176</v>
      </c>
    </row>
    <row r="409" spans="2:18">
      <c r="B409" s="240" t="str">
        <f t="shared" si="20"/>
        <v>nakładany TIP-ON clip 95°</v>
      </c>
      <c r="M409" s="233" t="s">
        <v>606</v>
      </c>
      <c r="N409" s="191" t="s">
        <v>606</v>
      </c>
      <c r="O409" s="191" t="s">
        <v>729</v>
      </c>
      <c r="P409" s="191" t="s">
        <v>917</v>
      </c>
      <c r="Q409" s="191" t="s">
        <v>1661</v>
      </c>
      <c r="R409" s="390" t="s">
        <v>4177</v>
      </c>
    </row>
    <row r="410" spans="2:18">
      <c r="B410" s="240" t="str">
        <f t="shared" si="20"/>
        <v>nakładany TIP-ON clip 120°</v>
      </c>
      <c r="M410" s="233" t="s">
        <v>607</v>
      </c>
      <c r="N410" s="191" t="s">
        <v>607</v>
      </c>
      <c r="O410" s="191" t="s">
        <v>730</v>
      </c>
      <c r="P410" s="191" t="s">
        <v>918</v>
      </c>
      <c r="Q410" s="191" t="s">
        <v>1662</v>
      </c>
      <c r="R410" s="390" t="s">
        <v>4178</v>
      </c>
    </row>
    <row r="411" spans="2:18">
      <c r="B411" s="240" t="str">
        <f t="shared" si="20"/>
        <v xml:space="preserve">Clip na wkręt euro </v>
      </c>
      <c r="M411" s="233" t="s">
        <v>85</v>
      </c>
      <c r="N411" s="191" t="s">
        <v>177</v>
      </c>
      <c r="O411" s="191" t="s">
        <v>240</v>
      </c>
      <c r="P411" s="191" t="s">
        <v>302</v>
      </c>
      <c r="Q411" s="191" t="s">
        <v>1591</v>
      </c>
      <c r="R411" s="390" t="s">
        <v>4179</v>
      </c>
    </row>
    <row r="412" spans="2:18">
      <c r="B412" s="240" t="str">
        <f t="shared" si="20"/>
        <v>Clip na wkręt</v>
      </c>
      <c r="M412" s="233" t="s">
        <v>84</v>
      </c>
      <c r="N412" s="191" t="s">
        <v>178</v>
      </c>
      <c r="O412" s="191" t="s">
        <v>241</v>
      </c>
      <c r="P412" s="191" t="s">
        <v>303</v>
      </c>
      <c r="Q412" s="191" t="s">
        <v>1592</v>
      </c>
      <c r="R412" s="390" t="s">
        <v>4047</v>
      </c>
    </row>
    <row r="413" spans="2:18">
      <c r="B413" s="240" t="str">
        <f t="shared" si="20"/>
        <v>Podwyższenie o 6mm</v>
      </c>
      <c r="M413" s="233" t="s">
        <v>86</v>
      </c>
      <c r="N413" s="191" t="s">
        <v>179</v>
      </c>
      <c r="O413" s="191" t="s">
        <v>1422</v>
      </c>
      <c r="P413" s="191" t="s">
        <v>304</v>
      </c>
      <c r="Q413" s="191" t="s">
        <v>992</v>
      </c>
      <c r="R413" s="390" t="s">
        <v>4180</v>
      </c>
    </row>
    <row r="414" spans="2:18">
      <c r="B414" s="240" t="str">
        <f t="shared" si="20"/>
        <v>nakładany nasuwany</v>
      </c>
      <c r="M414" s="191" t="s">
        <v>646</v>
      </c>
      <c r="N414" s="191" t="s">
        <v>731</v>
      </c>
      <c r="O414" s="191" t="s">
        <v>732</v>
      </c>
      <c r="P414" s="191" t="s">
        <v>1398</v>
      </c>
      <c r="Q414" s="191" t="s">
        <v>1663</v>
      </c>
      <c r="R414" s="390" t="s">
        <v>4181</v>
      </c>
    </row>
    <row r="415" spans="2:18">
      <c r="B415" s="240" t="str">
        <f t="shared" si="20"/>
        <v>półnakładany nasuwany</v>
      </c>
      <c r="M415" s="191" t="s">
        <v>647</v>
      </c>
      <c r="N415" s="191" t="s">
        <v>733</v>
      </c>
      <c r="O415" s="191" t="s">
        <v>734</v>
      </c>
      <c r="P415" s="191" t="s">
        <v>1399</v>
      </c>
      <c r="Q415" s="191" t="s">
        <v>1664</v>
      </c>
      <c r="R415" s="390" t="s">
        <v>4182</v>
      </c>
    </row>
    <row r="416" spans="2:18">
      <c r="B416" s="240" t="str">
        <f t="shared" si="20"/>
        <v>wpuszczany nasuwany</v>
      </c>
      <c r="M416" s="191" t="s">
        <v>648</v>
      </c>
      <c r="N416" s="191" t="s">
        <v>735</v>
      </c>
      <c r="O416" s="191" t="s">
        <v>736</v>
      </c>
      <c r="P416" s="191" t="s">
        <v>1400</v>
      </c>
      <c r="Q416" s="191" t="s">
        <v>1665</v>
      </c>
      <c r="R416" s="390" t="s">
        <v>4183</v>
      </c>
    </row>
    <row r="417" spans="2:18">
      <c r="B417" s="240" t="str">
        <f t="shared" si="20"/>
        <v>STRONG 30N biały Automatyczny</v>
      </c>
      <c r="M417" s="191" t="s">
        <v>611</v>
      </c>
      <c r="N417" s="191" t="s">
        <v>737</v>
      </c>
      <c r="O417" s="191" t="s">
        <v>738</v>
      </c>
      <c r="P417" s="191" t="s">
        <v>739</v>
      </c>
      <c r="Q417" s="191" t="s">
        <v>1005</v>
      </c>
      <c r="R417" t="s">
        <v>4184</v>
      </c>
    </row>
    <row r="418" spans="2:18">
      <c r="B418" s="240" t="str">
        <f t="shared" si="20"/>
        <v>STRONG 60N biały Automatyczny</v>
      </c>
      <c r="M418" s="191" t="s">
        <v>612</v>
      </c>
      <c r="N418" s="191" t="s">
        <v>740</v>
      </c>
      <c r="O418" s="191" t="s">
        <v>741</v>
      </c>
      <c r="P418" s="191" t="s">
        <v>742</v>
      </c>
      <c r="Q418" s="191" t="s">
        <v>1006</v>
      </c>
      <c r="R418" t="s">
        <v>4185</v>
      </c>
    </row>
    <row r="419" spans="2:18">
      <c r="B419" s="240" t="str">
        <f t="shared" si="20"/>
        <v>STRONG 80N biały Automatyczny</v>
      </c>
      <c r="M419" s="191" t="s">
        <v>613</v>
      </c>
      <c r="N419" s="191" t="s">
        <v>743</v>
      </c>
      <c r="O419" s="191" t="s">
        <v>744</v>
      </c>
      <c r="P419" s="191" t="s">
        <v>745</v>
      </c>
      <c r="Q419" s="191" t="s">
        <v>1007</v>
      </c>
      <c r="R419" t="s">
        <v>4186</v>
      </c>
    </row>
    <row r="420" spans="2:18">
      <c r="B420" s="240" t="str">
        <f t="shared" si="20"/>
        <v>STRONG 100N biały Automatyczny</v>
      </c>
      <c r="M420" s="191" t="s">
        <v>614</v>
      </c>
      <c r="N420" s="191" t="s">
        <v>746</v>
      </c>
      <c r="O420" s="191" t="s">
        <v>747</v>
      </c>
      <c r="P420" s="191" t="s">
        <v>748</v>
      </c>
      <c r="Q420" s="191" t="s">
        <v>1008</v>
      </c>
      <c r="R420" t="s">
        <v>4187</v>
      </c>
    </row>
    <row r="421" spans="2:18">
      <c r="B421" s="240" t="str">
        <f t="shared" si="20"/>
        <v>STRONG 120N biały Automatyczny</v>
      </c>
      <c r="M421" s="191" t="s">
        <v>615</v>
      </c>
      <c r="N421" s="191" t="s">
        <v>749</v>
      </c>
      <c r="O421" s="191" t="s">
        <v>750</v>
      </c>
      <c r="P421" s="191" t="s">
        <v>751</v>
      </c>
      <c r="Q421" s="191" t="s">
        <v>1009</v>
      </c>
      <c r="R421" t="s">
        <v>4188</v>
      </c>
    </row>
    <row r="422" spans="2:18">
      <c r="B422" s="240" t="str">
        <f t="shared" si="20"/>
        <v>STRONG 60N biały do pozycjonowania</v>
      </c>
      <c r="M422" s="191" t="s">
        <v>616</v>
      </c>
      <c r="N422" s="191" t="s">
        <v>752</v>
      </c>
      <c r="O422" s="191" t="s">
        <v>753</v>
      </c>
      <c r="P422" s="191" t="s">
        <v>754</v>
      </c>
      <c r="Q422" s="191" t="s">
        <v>1666</v>
      </c>
      <c r="R422" t="s">
        <v>4189</v>
      </c>
    </row>
    <row r="423" spans="2:18">
      <c r="B423" s="240" t="str">
        <f t="shared" si="20"/>
        <v>STRONG 80N biały do pozycjonowania</v>
      </c>
      <c r="M423" s="191" t="s">
        <v>617</v>
      </c>
      <c r="N423" s="191" t="s">
        <v>755</v>
      </c>
      <c r="O423" s="191" t="s">
        <v>756</v>
      </c>
      <c r="P423" s="191" t="s">
        <v>757</v>
      </c>
      <c r="Q423" s="191" t="s">
        <v>1667</v>
      </c>
      <c r="R423" t="s">
        <v>4190</v>
      </c>
    </row>
    <row r="424" spans="2:18">
      <c r="B424" s="240" t="str">
        <f t="shared" si="20"/>
        <v>STRONG 100N biały do pozycjonowania</v>
      </c>
      <c r="M424" s="191" t="s">
        <v>618</v>
      </c>
      <c r="N424" s="191" t="s">
        <v>758</v>
      </c>
      <c r="O424" s="191" t="s">
        <v>759</v>
      </c>
      <c r="P424" s="191" t="s">
        <v>760</v>
      </c>
      <c r="Q424" s="191" t="s">
        <v>1668</v>
      </c>
      <c r="R424" t="s">
        <v>4191</v>
      </c>
    </row>
    <row r="425" spans="2:18">
      <c r="B425" s="240" t="str">
        <f t="shared" si="20"/>
        <v>STRONG 120N biały do pozycjonowania</v>
      </c>
      <c r="M425" s="191" t="s">
        <v>619</v>
      </c>
      <c r="N425" s="191" t="s">
        <v>761</v>
      </c>
      <c r="O425" s="191" t="s">
        <v>762</v>
      </c>
      <c r="P425" s="191" t="s">
        <v>763</v>
      </c>
      <c r="Q425" s="191" t="s">
        <v>1669</v>
      </c>
      <c r="R425" t="s">
        <v>4192</v>
      </c>
    </row>
    <row r="426" spans="2:18">
      <c r="B426" s="240" t="str">
        <f t="shared" ref="B426:B489" si="21">IF($D$1=1,M426,IF($D$1=2,N426,IF($D$1=3,O426,IF($D$1=4,P426,IF($D$1=5,Q426,IF($D$1=6,R426,0))))))</f>
        <v>STRONG 30N szary Automatyczny</v>
      </c>
      <c r="M426" s="191" t="s">
        <v>620</v>
      </c>
      <c r="N426" s="191" t="s">
        <v>620</v>
      </c>
      <c r="O426" s="191" t="s">
        <v>764</v>
      </c>
      <c r="P426" s="191" t="s">
        <v>765</v>
      </c>
      <c r="Q426" s="191" t="s">
        <v>1509</v>
      </c>
      <c r="R426" s="390" t="s">
        <v>4193</v>
      </c>
    </row>
    <row r="427" spans="2:18">
      <c r="B427" s="240" t="str">
        <f t="shared" si="21"/>
        <v>STRONG 60N szary Automatyczny</v>
      </c>
      <c r="M427" s="191" t="s">
        <v>621</v>
      </c>
      <c r="N427" s="191" t="s">
        <v>621</v>
      </c>
      <c r="O427" s="191" t="s">
        <v>766</v>
      </c>
      <c r="P427" s="191" t="s">
        <v>767</v>
      </c>
      <c r="Q427" s="191" t="s">
        <v>1010</v>
      </c>
      <c r="R427" s="390" t="s">
        <v>4194</v>
      </c>
    </row>
    <row r="428" spans="2:18">
      <c r="B428" s="240" t="str">
        <f t="shared" si="21"/>
        <v>STRONG 80N szary Automatyczny</v>
      </c>
      <c r="M428" s="191" t="s">
        <v>622</v>
      </c>
      <c r="N428" s="191" t="s">
        <v>622</v>
      </c>
      <c r="O428" s="191" t="s">
        <v>768</v>
      </c>
      <c r="P428" s="191" t="s">
        <v>769</v>
      </c>
      <c r="Q428" s="191" t="s">
        <v>1510</v>
      </c>
      <c r="R428" s="390" t="s">
        <v>4195</v>
      </c>
    </row>
    <row r="429" spans="2:18">
      <c r="B429" s="240" t="str">
        <f t="shared" si="21"/>
        <v>STRONG 100N szary Automatyczny</v>
      </c>
      <c r="M429" s="191" t="s">
        <v>623</v>
      </c>
      <c r="N429" s="191" t="s">
        <v>623</v>
      </c>
      <c r="O429" s="191" t="s">
        <v>770</v>
      </c>
      <c r="P429" s="191" t="s">
        <v>771</v>
      </c>
      <c r="Q429" s="191" t="s">
        <v>1011</v>
      </c>
      <c r="R429" s="390" t="s">
        <v>4196</v>
      </c>
    </row>
    <row r="430" spans="2:18">
      <c r="B430" s="240" t="str">
        <f t="shared" si="21"/>
        <v>STRONG 120N szary Automatyczny</v>
      </c>
      <c r="M430" s="191" t="s">
        <v>624</v>
      </c>
      <c r="N430" s="191" t="s">
        <v>624</v>
      </c>
      <c r="O430" s="191" t="s">
        <v>772</v>
      </c>
      <c r="P430" s="191" t="s">
        <v>773</v>
      </c>
      <c r="Q430" s="191" t="s">
        <v>1012</v>
      </c>
      <c r="R430" s="390" t="s">
        <v>4197</v>
      </c>
    </row>
    <row r="431" spans="2:18">
      <c r="B431" s="240" t="str">
        <f t="shared" si="21"/>
        <v>STRONG 60N szary do pozycjonowania</v>
      </c>
      <c r="M431" s="191" t="s">
        <v>625</v>
      </c>
      <c r="N431" s="191" t="s">
        <v>625</v>
      </c>
      <c r="O431" s="191" t="s">
        <v>774</v>
      </c>
      <c r="P431" s="191" t="s">
        <v>775</v>
      </c>
      <c r="Q431" s="191" t="s">
        <v>1670</v>
      </c>
      <c r="R431" s="390" t="s">
        <v>4198</v>
      </c>
    </row>
    <row r="432" spans="2:18">
      <c r="B432" s="240" t="str">
        <f t="shared" si="21"/>
        <v>STRONG 80N szary do pozycjonowania</v>
      </c>
      <c r="M432" s="191" t="s">
        <v>626</v>
      </c>
      <c r="N432" s="191" t="s">
        <v>626</v>
      </c>
      <c r="O432" s="191" t="s">
        <v>776</v>
      </c>
      <c r="P432" s="191" t="s">
        <v>777</v>
      </c>
      <c r="Q432" s="191" t="s">
        <v>1671</v>
      </c>
      <c r="R432" s="390" t="s">
        <v>4199</v>
      </c>
    </row>
    <row r="433" spans="2:18">
      <c r="B433" s="240" t="str">
        <f t="shared" si="21"/>
        <v>STRONG 100N szary do pozycjonowania</v>
      </c>
      <c r="M433" s="191" t="s">
        <v>627</v>
      </c>
      <c r="N433" s="191" t="s">
        <v>627</v>
      </c>
      <c r="O433" s="191" t="s">
        <v>778</v>
      </c>
      <c r="P433" s="191" t="s">
        <v>779</v>
      </c>
      <c r="Q433" s="191" t="s">
        <v>1672</v>
      </c>
      <c r="R433" s="390" t="s">
        <v>4200</v>
      </c>
    </row>
    <row r="434" spans="2:18">
      <c r="B434" s="240" t="str">
        <f t="shared" si="21"/>
        <v>STRONG 120N szary do pozycjonowania</v>
      </c>
      <c r="M434" s="191" t="s">
        <v>628</v>
      </c>
      <c r="N434" s="191" t="s">
        <v>628</v>
      </c>
      <c r="O434" s="191" t="s">
        <v>780</v>
      </c>
      <c r="P434" s="191" t="s">
        <v>781</v>
      </c>
      <c r="Q434" s="191" t="s">
        <v>1511</v>
      </c>
      <c r="R434" s="390" t="s">
        <v>4201</v>
      </c>
    </row>
    <row r="435" spans="2:18">
      <c r="B435" s="240" t="str">
        <f t="shared" si="21"/>
        <v>HUWIL DUO</v>
      </c>
      <c r="M435" s="191" t="s">
        <v>629</v>
      </c>
      <c r="N435" s="191" t="s">
        <v>629</v>
      </c>
      <c r="O435" s="191" t="s">
        <v>629</v>
      </c>
      <c r="P435" s="191" t="s">
        <v>629</v>
      </c>
      <c r="Q435" s="191" t="s">
        <v>629</v>
      </c>
      <c r="R435" s="191" t="s">
        <v>629</v>
      </c>
    </row>
    <row r="436" spans="2:18">
      <c r="B436" s="240" t="str">
        <f t="shared" si="21"/>
        <v>HUWIL DUO FORTE</v>
      </c>
      <c r="M436" s="191" t="s">
        <v>630</v>
      </c>
      <c r="N436" s="191" t="s">
        <v>630</v>
      </c>
      <c r="O436" s="191" t="s">
        <v>630</v>
      </c>
      <c r="P436" s="191" t="s">
        <v>630</v>
      </c>
      <c r="Q436" s="191" t="s">
        <v>630</v>
      </c>
      <c r="R436" s="191" t="s">
        <v>630</v>
      </c>
    </row>
    <row r="437" spans="2:18">
      <c r="B437" s="240" t="str">
        <f t="shared" si="21"/>
        <v>HUWILIFT MAXI</v>
      </c>
      <c r="M437" s="191" t="s">
        <v>631</v>
      </c>
      <c r="N437" s="191" t="s">
        <v>631</v>
      </c>
      <c r="O437" s="191" t="s">
        <v>631</v>
      </c>
      <c r="P437" s="191" t="s">
        <v>631</v>
      </c>
      <c r="Q437" s="191" t="s">
        <v>631</v>
      </c>
      <c r="R437" s="191" t="s">
        <v>631</v>
      </c>
    </row>
    <row r="438" spans="2:18">
      <c r="B438" s="240" t="str">
        <f t="shared" si="21"/>
        <v>KRABY 164 45N</v>
      </c>
      <c r="M438" s="191" t="s">
        <v>417</v>
      </c>
      <c r="N438" s="191" t="s">
        <v>417</v>
      </c>
      <c r="O438" s="191" t="s">
        <v>417</v>
      </c>
      <c r="P438" s="191" t="s">
        <v>417</v>
      </c>
      <c r="Q438" s="191" t="s">
        <v>417</v>
      </c>
      <c r="R438" s="191" t="s">
        <v>417</v>
      </c>
    </row>
    <row r="439" spans="2:18">
      <c r="B439" s="240" t="str">
        <f t="shared" si="21"/>
        <v>KRABY 164 60N</v>
      </c>
      <c r="M439" s="191" t="s">
        <v>418</v>
      </c>
      <c r="N439" s="191" t="s">
        <v>418</v>
      </c>
      <c r="O439" s="191" t="s">
        <v>418</v>
      </c>
      <c r="P439" s="191" t="s">
        <v>418</v>
      </c>
      <c r="Q439" s="191" t="s">
        <v>418</v>
      </c>
      <c r="R439" s="191" t="s">
        <v>418</v>
      </c>
    </row>
    <row r="440" spans="2:18">
      <c r="B440" s="240" t="str">
        <f t="shared" si="21"/>
        <v>KRABY 244 45N</v>
      </c>
      <c r="M440" s="191" t="s">
        <v>419</v>
      </c>
      <c r="N440" s="191" t="s">
        <v>419</v>
      </c>
      <c r="O440" s="191" t="s">
        <v>419</v>
      </c>
      <c r="P440" s="191" t="s">
        <v>419</v>
      </c>
      <c r="Q440" s="191" t="s">
        <v>419</v>
      </c>
      <c r="R440" s="191" t="s">
        <v>419</v>
      </c>
    </row>
    <row r="441" spans="2:18">
      <c r="B441" s="240" t="str">
        <f t="shared" si="21"/>
        <v>KRABY 244 60N</v>
      </c>
      <c r="M441" s="191" t="s">
        <v>420</v>
      </c>
      <c r="N441" s="191" t="s">
        <v>420</v>
      </c>
      <c r="O441" s="191" t="s">
        <v>420</v>
      </c>
      <c r="P441" s="191" t="s">
        <v>420</v>
      </c>
      <c r="Q441" s="191" t="s">
        <v>420</v>
      </c>
      <c r="R441" s="191" t="s">
        <v>420</v>
      </c>
    </row>
    <row r="442" spans="2:18">
      <c r="B442" s="240" t="str">
        <f t="shared" si="21"/>
        <v>KRABY 244 90N</v>
      </c>
      <c r="M442" s="191" t="s">
        <v>421</v>
      </c>
      <c r="N442" s="191" t="s">
        <v>421</v>
      </c>
      <c r="O442" s="191" t="s">
        <v>421</v>
      </c>
      <c r="P442" s="191" t="s">
        <v>421</v>
      </c>
      <c r="Q442" s="191" t="s">
        <v>421</v>
      </c>
      <c r="R442" s="191" t="s">
        <v>421</v>
      </c>
    </row>
    <row r="443" spans="2:18">
      <c r="B443" s="240" t="str">
        <f t="shared" si="21"/>
        <v>KRABY 244 120N</v>
      </c>
      <c r="M443" s="191" t="s">
        <v>422</v>
      </c>
      <c r="N443" s="191" t="s">
        <v>422</v>
      </c>
      <c r="O443" s="191" t="s">
        <v>422</v>
      </c>
      <c r="P443" s="191" t="s">
        <v>422</v>
      </c>
      <c r="Q443" s="191" t="s">
        <v>422</v>
      </c>
      <c r="R443" s="191" t="s">
        <v>422</v>
      </c>
    </row>
    <row r="444" spans="2:18">
      <c r="B444" s="240" t="str">
        <f t="shared" si="21"/>
        <v>KRABY 355 45N</v>
      </c>
      <c r="M444" s="191" t="s">
        <v>423</v>
      </c>
      <c r="N444" s="191" t="s">
        <v>423</v>
      </c>
      <c r="O444" s="191" t="s">
        <v>423</v>
      </c>
      <c r="P444" s="191" t="s">
        <v>423</v>
      </c>
      <c r="Q444" s="191" t="s">
        <v>423</v>
      </c>
      <c r="R444" s="191" t="s">
        <v>423</v>
      </c>
    </row>
    <row r="445" spans="2:18">
      <c r="B445" s="240" t="str">
        <f t="shared" si="21"/>
        <v>KRABY 355 60N</v>
      </c>
      <c r="M445" s="191" t="s">
        <v>424</v>
      </c>
      <c r="N445" s="191" t="s">
        <v>424</v>
      </c>
      <c r="O445" s="191" t="s">
        <v>424</v>
      </c>
      <c r="P445" s="191" t="s">
        <v>424</v>
      </c>
      <c r="Q445" s="191" t="s">
        <v>424</v>
      </c>
      <c r="R445" s="191" t="s">
        <v>424</v>
      </c>
    </row>
    <row r="446" spans="2:18">
      <c r="B446" s="240" t="str">
        <f t="shared" si="21"/>
        <v>KRABY 355 90N</v>
      </c>
      <c r="M446" s="191" t="s">
        <v>425</v>
      </c>
      <c r="N446" s="191" t="s">
        <v>425</v>
      </c>
      <c r="O446" s="191" t="s">
        <v>425</v>
      </c>
      <c r="P446" s="191" t="s">
        <v>425</v>
      </c>
      <c r="Q446" s="191" t="s">
        <v>425</v>
      </c>
      <c r="R446" s="191" t="s">
        <v>425</v>
      </c>
    </row>
    <row r="447" spans="2:18">
      <c r="B447" s="240" t="str">
        <f t="shared" si="21"/>
        <v>KRABY 355 120N</v>
      </c>
      <c r="M447" s="191" t="s">
        <v>426</v>
      </c>
      <c r="N447" s="191" t="s">
        <v>426</v>
      </c>
      <c r="O447" s="191" t="s">
        <v>426</v>
      </c>
      <c r="P447" s="191" t="s">
        <v>426</v>
      </c>
      <c r="Q447" s="191" t="s">
        <v>426</v>
      </c>
      <c r="R447" s="191" t="s">
        <v>426</v>
      </c>
    </row>
    <row r="448" spans="2:18">
      <c r="B448" s="240" t="str">
        <f t="shared" si="21"/>
        <v>K12 244 50N</v>
      </c>
      <c r="M448" s="191" t="s">
        <v>632</v>
      </c>
      <c r="N448" s="191" t="s">
        <v>632</v>
      </c>
      <c r="O448" s="191" t="s">
        <v>632</v>
      </c>
      <c r="P448" s="191" t="s">
        <v>632</v>
      </c>
      <c r="Q448" s="191" t="s">
        <v>632</v>
      </c>
      <c r="R448" s="191" t="s">
        <v>632</v>
      </c>
    </row>
    <row r="449" spans="2:18">
      <c r="B449" s="240" t="str">
        <f t="shared" si="21"/>
        <v>K12 244 80N</v>
      </c>
      <c r="M449" s="191" t="s">
        <v>633</v>
      </c>
      <c r="N449" s="191" t="s">
        <v>633</v>
      </c>
      <c r="O449" s="191" t="s">
        <v>633</v>
      </c>
      <c r="P449" s="191" t="s">
        <v>633</v>
      </c>
      <c r="Q449" s="191" t="s">
        <v>633</v>
      </c>
      <c r="R449" s="191" t="s">
        <v>633</v>
      </c>
    </row>
    <row r="450" spans="2:18">
      <c r="B450" s="240" t="str">
        <f t="shared" si="21"/>
        <v>K12 244 100N</v>
      </c>
      <c r="M450" s="191" t="s">
        <v>634</v>
      </c>
      <c r="N450" s="191" t="s">
        <v>634</v>
      </c>
      <c r="O450" s="191" t="s">
        <v>634</v>
      </c>
      <c r="P450" s="191" t="s">
        <v>634</v>
      </c>
      <c r="Q450" s="191" t="s">
        <v>634</v>
      </c>
      <c r="R450" s="191" t="s">
        <v>634</v>
      </c>
    </row>
    <row r="451" spans="2:18">
      <c r="B451" s="240" t="str">
        <f t="shared" si="21"/>
        <v>K12 244 120N</v>
      </c>
      <c r="M451" s="191" t="s">
        <v>635</v>
      </c>
      <c r="N451" s="191" t="s">
        <v>635</v>
      </c>
      <c r="O451" s="191" t="s">
        <v>635</v>
      </c>
      <c r="P451" s="191" t="s">
        <v>635</v>
      </c>
      <c r="Q451" s="191" t="s">
        <v>635</v>
      </c>
      <c r="R451" s="191" t="s">
        <v>635</v>
      </c>
    </row>
    <row r="452" spans="2:18">
      <c r="B452" s="240" t="str">
        <f t="shared" si="21"/>
        <v>K12 355 60N</v>
      </c>
      <c r="M452" s="191" t="s">
        <v>636</v>
      </c>
      <c r="N452" s="191" t="s">
        <v>636</v>
      </c>
      <c r="O452" s="191" t="s">
        <v>636</v>
      </c>
      <c r="P452" s="191" t="s">
        <v>636</v>
      </c>
      <c r="Q452" s="191" t="s">
        <v>636</v>
      </c>
      <c r="R452" s="191" t="s">
        <v>636</v>
      </c>
    </row>
    <row r="453" spans="2:18">
      <c r="B453" s="240" t="str">
        <f t="shared" si="21"/>
        <v>K12 355 90N</v>
      </c>
      <c r="M453" s="191" t="s">
        <v>637</v>
      </c>
      <c r="N453" s="191" t="s">
        <v>637</v>
      </c>
      <c r="O453" s="191" t="s">
        <v>637</v>
      </c>
      <c r="P453" s="191" t="s">
        <v>637</v>
      </c>
      <c r="Q453" s="191" t="s">
        <v>637</v>
      </c>
      <c r="R453" s="191" t="s">
        <v>637</v>
      </c>
    </row>
    <row r="454" spans="2:18">
      <c r="B454" s="240" t="str">
        <f t="shared" si="21"/>
        <v>K12 355 110N</v>
      </c>
      <c r="M454" s="191" t="s">
        <v>638</v>
      </c>
      <c r="N454" s="191" t="s">
        <v>638</v>
      </c>
      <c r="O454" s="191" t="s">
        <v>638</v>
      </c>
      <c r="P454" s="191" t="s">
        <v>638</v>
      </c>
      <c r="Q454" s="191" t="s">
        <v>638</v>
      </c>
      <c r="R454" s="191" t="s">
        <v>638</v>
      </c>
    </row>
    <row r="455" spans="2:18">
      <c r="B455" s="240" t="str">
        <f t="shared" si="21"/>
        <v>K12 355 130N</v>
      </c>
      <c r="M455" s="191" t="s">
        <v>639</v>
      </c>
      <c r="N455" s="191" t="s">
        <v>639</v>
      </c>
      <c r="O455" s="191" t="s">
        <v>639</v>
      </c>
      <c r="P455" s="191" t="s">
        <v>639</v>
      </c>
      <c r="Q455" s="191" t="s">
        <v>639</v>
      </c>
      <c r="R455" s="191" t="s">
        <v>639</v>
      </c>
    </row>
    <row r="456" spans="2:18">
      <c r="B456" s="240" t="str">
        <f t="shared" si="21"/>
        <v>STRONG dolny biały</v>
      </c>
      <c r="M456" s="191" t="s">
        <v>640</v>
      </c>
      <c r="N456" s="191" t="s">
        <v>782</v>
      </c>
      <c r="O456" s="191" t="s">
        <v>783</v>
      </c>
      <c r="P456" s="191" t="s">
        <v>784</v>
      </c>
      <c r="Q456" s="191" t="s">
        <v>1673</v>
      </c>
      <c r="R456" s="390" t="s">
        <v>4403</v>
      </c>
    </row>
    <row r="457" spans="2:18">
      <c r="B457" s="240" t="str">
        <f t="shared" si="21"/>
        <v>STRONG dolny szary</v>
      </c>
      <c r="M457" s="191" t="s">
        <v>3429</v>
      </c>
      <c r="N457" s="191" t="s">
        <v>785</v>
      </c>
      <c r="O457" s="191" t="s">
        <v>786</v>
      </c>
      <c r="P457" s="191" t="s">
        <v>787</v>
      </c>
      <c r="Q457" s="191" t="s">
        <v>1674</v>
      </c>
      <c r="R457" s="390" t="s">
        <v>4404</v>
      </c>
    </row>
    <row r="458" spans="2:18">
      <c r="B458" s="240" t="str">
        <f t="shared" si="21"/>
        <v xml:space="preserve">HUWIL DUO (90°) </v>
      </c>
      <c r="M458" s="191" t="s">
        <v>642</v>
      </c>
      <c r="N458" s="191" t="s">
        <v>642</v>
      </c>
      <c r="O458" s="191" t="s">
        <v>642</v>
      </c>
      <c r="P458" s="191" t="s">
        <v>642</v>
      </c>
      <c r="Q458" s="191" t="s">
        <v>470</v>
      </c>
      <c r="R458" s="390" t="s">
        <v>470</v>
      </c>
    </row>
    <row r="459" spans="2:18">
      <c r="B459" s="240" t="str">
        <f t="shared" si="21"/>
        <v>HUWIL DUO FORTE</v>
      </c>
      <c r="M459" s="191" t="s">
        <v>630</v>
      </c>
      <c r="N459" s="191" t="s">
        <v>630</v>
      </c>
      <c r="O459" s="191" t="s">
        <v>630</v>
      </c>
      <c r="P459" s="191" t="s">
        <v>630</v>
      </c>
      <c r="Q459" s="191" t="s">
        <v>630</v>
      </c>
      <c r="R459" s="390" t="s">
        <v>630</v>
      </c>
    </row>
    <row r="460" spans="2:18">
      <c r="B460" s="240" t="str">
        <f t="shared" si="21"/>
        <v>KRABY 164 dolny</v>
      </c>
      <c r="M460" s="191" t="s">
        <v>643</v>
      </c>
      <c r="N460" s="191" t="s">
        <v>788</v>
      </c>
      <c r="O460" s="191" t="s">
        <v>789</v>
      </c>
      <c r="P460" s="191" t="s">
        <v>790</v>
      </c>
      <c r="Q460" s="191" t="s">
        <v>1512</v>
      </c>
      <c r="R460" s="390" t="s">
        <v>4405</v>
      </c>
    </row>
    <row r="461" spans="2:18">
      <c r="B461" s="240" t="str">
        <f t="shared" si="21"/>
        <v>KRABY 244 dolny</v>
      </c>
      <c r="M461" s="191" t="s">
        <v>644</v>
      </c>
      <c r="N461" s="191" t="s">
        <v>791</v>
      </c>
      <c r="O461" s="191" t="s">
        <v>792</v>
      </c>
      <c r="P461" s="191" t="s">
        <v>793</v>
      </c>
      <c r="Q461" s="191" t="s">
        <v>1513</v>
      </c>
      <c r="R461" s="390" t="s">
        <v>4406</v>
      </c>
    </row>
    <row r="462" spans="2:18">
      <c r="B462" s="240" t="str">
        <f t="shared" si="21"/>
        <v>KRABY 355 dolny</v>
      </c>
      <c r="M462" s="191" t="s">
        <v>645</v>
      </c>
      <c r="N462" s="191" t="s">
        <v>794</v>
      </c>
      <c r="O462" s="191" t="s">
        <v>795</v>
      </c>
      <c r="P462" s="191" t="s">
        <v>796</v>
      </c>
      <c r="Q462" s="191" t="s">
        <v>1514</v>
      </c>
      <c r="R462" s="390" t="s">
        <v>4407</v>
      </c>
    </row>
    <row r="463" spans="2:18">
      <c r="B463" s="240" t="str">
        <f t="shared" si="21"/>
        <v>STRONG 30N biały Automatyczny</v>
      </c>
      <c r="M463" s="191" t="s">
        <v>611</v>
      </c>
      <c r="N463" s="191" t="s">
        <v>737</v>
      </c>
      <c r="O463" s="191" t="s">
        <v>738</v>
      </c>
      <c r="P463" s="191" t="s">
        <v>739</v>
      </c>
      <c r="Q463" s="191" t="s">
        <v>1005</v>
      </c>
      <c r="R463" s="390" t="s">
        <v>4184</v>
      </c>
    </row>
    <row r="464" spans="2:18">
      <c r="B464" s="240" t="str">
        <f t="shared" si="21"/>
        <v>STRONG 60N biały Automatyczny</v>
      </c>
      <c r="M464" s="191" t="s">
        <v>612</v>
      </c>
      <c r="N464" s="191" t="s">
        <v>740</v>
      </c>
      <c r="O464" s="191" t="s">
        <v>741</v>
      </c>
      <c r="P464" s="191" t="s">
        <v>742</v>
      </c>
      <c r="Q464" s="191" t="s">
        <v>1006</v>
      </c>
      <c r="R464" s="390" t="s">
        <v>4185</v>
      </c>
    </row>
    <row r="465" spans="2:18">
      <c r="B465" s="240" t="str">
        <f t="shared" si="21"/>
        <v>STRONG 80N biały Automatyczny</v>
      </c>
      <c r="M465" s="191" t="s">
        <v>613</v>
      </c>
      <c r="N465" s="191" t="s">
        <v>743</v>
      </c>
      <c r="O465" s="191" t="s">
        <v>744</v>
      </c>
      <c r="P465" s="191" t="s">
        <v>745</v>
      </c>
      <c r="Q465" s="191" t="s">
        <v>1007</v>
      </c>
      <c r="R465" s="390" t="s">
        <v>4186</v>
      </c>
    </row>
    <row r="466" spans="2:18">
      <c r="B466" s="240" t="str">
        <f t="shared" si="21"/>
        <v>STRONG 100N biały Automatyczny</v>
      </c>
      <c r="M466" s="191" t="s">
        <v>614</v>
      </c>
      <c r="N466" s="191" t="s">
        <v>746</v>
      </c>
      <c r="O466" s="191" t="s">
        <v>747</v>
      </c>
      <c r="P466" s="191" t="s">
        <v>748</v>
      </c>
      <c r="Q466" s="191" t="s">
        <v>1008</v>
      </c>
      <c r="R466" s="390" t="s">
        <v>4187</v>
      </c>
    </row>
    <row r="467" spans="2:18">
      <c r="B467" s="240" t="str">
        <f t="shared" si="21"/>
        <v>STRONG 120N biały Automatyczny</v>
      </c>
      <c r="M467" s="191" t="s">
        <v>615</v>
      </c>
      <c r="N467" s="191" t="s">
        <v>749</v>
      </c>
      <c r="O467" s="191" t="s">
        <v>750</v>
      </c>
      <c r="P467" s="191" t="s">
        <v>751</v>
      </c>
      <c r="Q467" s="191" t="s">
        <v>1009</v>
      </c>
      <c r="R467" s="390" t="s">
        <v>4188</v>
      </c>
    </row>
    <row r="468" spans="2:18">
      <c r="B468" s="240" t="str">
        <f t="shared" si="21"/>
        <v>STRONG 60N biały do pozycjonowania</v>
      </c>
      <c r="M468" s="191" t="s">
        <v>616</v>
      </c>
      <c r="N468" s="191" t="s">
        <v>752</v>
      </c>
      <c r="O468" s="191" t="s">
        <v>753</v>
      </c>
      <c r="P468" s="191" t="s">
        <v>754</v>
      </c>
      <c r="Q468" s="191" t="s">
        <v>1666</v>
      </c>
      <c r="R468" s="390" t="s">
        <v>4189</v>
      </c>
    </row>
    <row r="469" spans="2:18">
      <c r="B469" s="240" t="str">
        <f t="shared" si="21"/>
        <v>STRONG 80N biały do pozycjonowania</v>
      </c>
      <c r="M469" s="191" t="s">
        <v>617</v>
      </c>
      <c r="N469" s="191" t="s">
        <v>755</v>
      </c>
      <c r="O469" s="191" t="s">
        <v>756</v>
      </c>
      <c r="P469" s="191" t="s">
        <v>757</v>
      </c>
      <c r="Q469" s="191" t="s">
        <v>1667</v>
      </c>
      <c r="R469" s="390" t="s">
        <v>4190</v>
      </c>
    </row>
    <row r="470" spans="2:18">
      <c r="B470" s="240" t="str">
        <f t="shared" si="21"/>
        <v>STRONG 100N biały do pozycjonowania</v>
      </c>
      <c r="M470" s="191" t="s">
        <v>618</v>
      </c>
      <c r="N470" s="191" t="s">
        <v>758</v>
      </c>
      <c r="O470" s="191" t="s">
        <v>759</v>
      </c>
      <c r="P470" s="191" t="s">
        <v>760</v>
      </c>
      <c r="Q470" s="191" t="s">
        <v>1668</v>
      </c>
      <c r="R470" s="390" t="s">
        <v>4191</v>
      </c>
    </row>
    <row r="471" spans="2:18">
      <c r="B471" s="240" t="str">
        <f t="shared" si="21"/>
        <v>STRONG 120N biały do pozycjonowania</v>
      </c>
      <c r="M471" s="191" t="s">
        <v>619</v>
      </c>
      <c r="N471" s="191" t="s">
        <v>761</v>
      </c>
      <c r="O471" s="191" t="s">
        <v>762</v>
      </c>
      <c r="P471" s="191" t="s">
        <v>763</v>
      </c>
      <c r="Q471" s="191" t="s">
        <v>1669</v>
      </c>
      <c r="R471" s="390" t="s">
        <v>4192</v>
      </c>
    </row>
    <row r="472" spans="2:18">
      <c r="B472" s="240" t="str">
        <f t="shared" si="21"/>
        <v>STRONG 30N szary Automatyczny</v>
      </c>
      <c r="M472" s="191" t="s">
        <v>620</v>
      </c>
      <c r="N472" s="191" t="s">
        <v>620</v>
      </c>
      <c r="O472" s="191" t="s">
        <v>764</v>
      </c>
      <c r="P472" s="191" t="s">
        <v>765</v>
      </c>
      <c r="Q472" s="191" t="s">
        <v>1509</v>
      </c>
      <c r="R472" s="390" t="s">
        <v>4193</v>
      </c>
    </row>
    <row r="473" spans="2:18">
      <c r="B473" s="240" t="str">
        <f t="shared" si="21"/>
        <v>STRONG 60N szary Automatyczny</v>
      </c>
      <c r="M473" s="191" t="s">
        <v>621</v>
      </c>
      <c r="N473" s="191" t="s">
        <v>621</v>
      </c>
      <c r="O473" s="191" t="s">
        <v>766</v>
      </c>
      <c r="P473" s="191" t="s">
        <v>767</v>
      </c>
      <c r="Q473" s="191" t="s">
        <v>1010</v>
      </c>
      <c r="R473" s="390" t="s">
        <v>4194</v>
      </c>
    </row>
    <row r="474" spans="2:18">
      <c r="B474" s="240" t="str">
        <f t="shared" si="21"/>
        <v>STRONG 80N szary Automatyczny</v>
      </c>
      <c r="M474" s="191" t="s">
        <v>622</v>
      </c>
      <c r="N474" s="191" t="s">
        <v>622</v>
      </c>
      <c r="O474" s="191" t="s">
        <v>768</v>
      </c>
      <c r="P474" s="191" t="s">
        <v>769</v>
      </c>
      <c r="Q474" s="191" t="s">
        <v>1510</v>
      </c>
      <c r="R474" s="390" t="s">
        <v>4195</v>
      </c>
    </row>
    <row r="475" spans="2:18">
      <c r="B475" s="240" t="str">
        <f t="shared" si="21"/>
        <v>STRONG 100N szary Automatyczny</v>
      </c>
      <c r="M475" s="191" t="s">
        <v>623</v>
      </c>
      <c r="N475" s="191" t="s">
        <v>623</v>
      </c>
      <c r="O475" s="191" t="s">
        <v>770</v>
      </c>
      <c r="P475" s="191" t="s">
        <v>771</v>
      </c>
      <c r="Q475" s="191" t="s">
        <v>1011</v>
      </c>
      <c r="R475" s="390" t="s">
        <v>4196</v>
      </c>
    </row>
    <row r="476" spans="2:18">
      <c r="B476" s="240" t="str">
        <f t="shared" si="21"/>
        <v>STRONG 120N szary Automatyczny</v>
      </c>
      <c r="M476" s="191" t="s">
        <v>624</v>
      </c>
      <c r="N476" s="191" t="s">
        <v>624</v>
      </c>
      <c r="O476" s="191" t="s">
        <v>772</v>
      </c>
      <c r="P476" s="191" t="s">
        <v>773</v>
      </c>
      <c r="Q476" s="191" t="s">
        <v>1012</v>
      </c>
      <c r="R476" s="390" t="s">
        <v>4197</v>
      </c>
    </row>
    <row r="477" spans="2:18">
      <c r="B477" s="240" t="str">
        <f t="shared" si="21"/>
        <v>STRONG 60N szary do pozycjonowania</v>
      </c>
      <c r="M477" s="191" t="s">
        <v>625</v>
      </c>
      <c r="N477" s="191" t="s">
        <v>625</v>
      </c>
      <c r="O477" s="191" t="s">
        <v>774</v>
      </c>
      <c r="P477" s="191" t="s">
        <v>775</v>
      </c>
      <c r="Q477" s="191" t="s">
        <v>1670</v>
      </c>
      <c r="R477" s="390" t="s">
        <v>4198</v>
      </c>
    </row>
    <row r="478" spans="2:18">
      <c r="B478" s="240" t="str">
        <f t="shared" si="21"/>
        <v>STRONG 80N szary do pozycjonowania</v>
      </c>
      <c r="M478" s="191" t="s">
        <v>626</v>
      </c>
      <c r="N478" s="191" t="s">
        <v>626</v>
      </c>
      <c r="O478" s="191" t="s">
        <v>776</v>
      </c>
      <c r="P478" s="191" t="s">
        <v>777</v>
      </c>
      <c r="Q478" s="191" t="s">
        <v>1671</v>
      </c>
      <c r="R478" s="390" t="s">
        <v>4199</v>
      </c>
    </row>
    <row r="479" spans="2:18">
      <c r="B479" s="240" t="str">
        <f t="shared" si="21"/>
        <v>STRONG 100N szary do pozycjonowania</v>
      </c>
      <c r="M479" s="191" t="s">
        <v>627</v>
      </c>
      <c r="N479" s="191" t="s">
        <v>627</v>
      </c>
      <c r="O479" s="191" t="s">
        <v>778</v>
      </c>
      <c r="P479" s="191" t="s">
        <v>779</v>
      </c>
      <c r="Q479" s="191" t="s">
        <v>1672</v>
      </c>
      <c r="R479" s="390" t="s">
        <v>4200</v>
      </c>
    </row>
    <row r="480" spans="2:18">
      <c r="B480" s="240" t="str">
        <f t="shared" si="21"/>
        <v>STRONG 120N szary do pozycjonowania</v>
      </c>
      <c r="M480" s="191" t="s">
        <v>628</v>
      </c>
      <c r="N480" s="191" t="s">
        <v>628</v>
      </c>
      <c r="O480" s="191" t="s">
        <v>780</v>
      </c>
      <c r="P480" s="191" t="s">
        <v>781</v>
      </c>
      <c r="Q480" s="191" t="s">
        <v>1511</v>
      </c>
      <c r="R480" s="390" t="s">
        <v>4201</v>
      </c>
    </row>
    <row r="481" spans="2:18">
      <c r="B481" s="240" t="str">
        <f t="shared" si="21"/>
        <v>HUWIL DUO</v>
      </c>
      <c r="M481" s="191" t="s">
        <v>629</v>
      </c>
      <c r="N481" s="191" t="s">
        <v>629</v>
      </c>
      <c r="O481" s="191" t="s">
        <v>629</v>
      </c>
      <c r="P481" s="191" t="s">
        <v>629</v>
      </c>
      <c r="Q481" s="191" t="s">
        <v>629</v>
      </c>
      <c r="R481" s="390" t="s">
        <v>629</v>
      </c>
    </row>
    <row r="482" spans="2:18">
      <c r="B482" s="240" t="str">
        <f t="shared" si="21"/>
        <v>HUWILIFT MAXI</v>
      </c>
      <c r="M482" s="191" t="s">
        <v>631</v>
      </c>
      <c r="N482" s="191" t="s">
        <v>631</v>
      </c>
      <c r="O482" s="191" t="s">
        <v>631</v>
      </c>
      <c r="P482" s="191" t="s">
        <v>631</v>
      </c>
      <c r="Q482" s="191" t="s">
        <v>631</v>
      </c>
      <c r="R482" s="390" t="s">
        <v>631</v>
      </c>
    </row>
    <row r="483" spans="2:18">
      <c r="B483" s="240" t="str">
        <f t="shared" si="21"/>
        <v>KRABY 164 45N</v>
      </c>
      <c r="M483" s="191" t="s">
        <v>417</v>
      </c>
      <c r="N483" s="191" t="s">
        <v>417</v>
      </c>
      <c r="O483" s="191" t="s">
        <v>417</v>
      </c>
      <c r="P483" s="191" t="s">
        <v>417</v>
      </c>
      <c r="Q483" s="191" t="s">
        <v>417</v>
      </c>
      <c r="R483" s="390" t="s">
        <v>417</v>
      </c>
    </row>
    <row r="484" spans="2:18">
      <c r="B484" s="240" t="str">
        <f t="shared" si="21"/>
        <v>KRABY 164 60N</v>
      </c>
      <c r="M484" s="191" t="s">
        <v>418</v>
      </c>
      <c r="N484" s="191" t="s">
        <v>418</v>
      </c>
      <c r="O484" s="191" t="s">
        <v>418</v>
      </c>
      <c r="P484" s="191" t="s">
        <v>418</v>
      </c>
      <c r="Q484" s="191" t="s">
        <v>418</v>
      </c>
      <c r="R484" s="390" t="s">
        <v>418</v>
      </c>
    </row>
    <row r="485" spans="2:18">
      <c r="B485" s="240" t="str">
        <f t="shared" si="21"/>
        <v>KRABY 244 45N</v>
      </c>
      <c r="M485" s="191" t="s">
        <v>419</v>
      </c>
      <c r="N485" s="191" t="s">
        <v>419</v>
      </c>
      <c r="O485" s="191" t="s">
        <v>419</v>
      </c>
      <c r="P485" s="191" t="s">
        <v>419</v>
      </c>
      <c r="Q485" s="191" t="s">
        <v>419</v>
      </c>
      <c r="R485" s="390" t="s">
        <v>419</v>
      </c>
    </row>
    <row r="486" spans="2:18">
      <c r="B486" s="240" t="str">
        <f t="shared" si="21"/>
        <v>KRABY 244 60N</v>
      </c>
      <c r="M486" s="191" t="s">
        <v>420</v>
      </c>
      <c r="N486" s="191" t="s">
        <v>420</v>
      </c>
      <c r="O486" s="191" t="s">
        <v>420</v>
      </c>
      <c r="P486" s="191" t="s">
        <v>420</v>
      </c>
      <c r="Q486" s="191" t="s">
        <v>420</v>
      </c>
      <c r="R486" s="390" t="s">
        <v>420</v>
      </c>
    </row>
    <row r="487" spans="2:18">
      <c r="B487" s="240" t="str">
        <f t="shared" si="21"/>
        <v>KRABY 244 90N</v>
      </c>
      <c r="M487" s="191" t="s">
        <v>421</v>
      </c>
      <c r="N487" s="191" t="s">
        <v>421</v>
      </c>
      <c r="O487" s="191" t="s">
        <v>421</v>
      </c>
      <c r="P487" s="191" t="s">
        <v>421</v>
      </c>
      <c r="Q487" s="191" t="s">
        <v>421</v>
      </c>
      <c r="R487" s="390" t="s">
        <v>421</v>
      </c>
    </row>
    <row r="488" spans="2:18">
      <c r="B488" s="240" t="str">
        <f t="shared" si="21"/>
        <v>KRABY 244 120N</v>
      </c>
      <c r="M488" s="191" t="s">
        <v>422</v>
      </c>
      <c r="N488" s="191" t="s">
        <v>422</v>
      </c>
      <c r="O488" s="191" t="s">
        <v>422</v>
      </c>
      <c r="P488" s="191" t="s">
        <v>422</v>
      </c>
      <c r="Q488" s="191" t="s">
        <v>422</v>
      </c>
      <c r="R488" s="390" t="s">
        <v>422</v>
      </c>
    </row>
    <row r="489" spans="2:18">
      <c r="B489" s="240" t="str">
        <f t="shared" si="21"/>
        <v>KRABY 355 45N</v>
      </c>
      <c r="M489" s="191" t="s">
        <v>423</v>
      </c>
      <c r="N489" s="191" t="s">
        <v>423</v>
      </c>
      <c r="O489" s="191" t="s">
        <v>423</v>
      </c>
      <c r="P489" s="191" t="s">
        <v>423</v>
      </c>
      <c r="Q489" s="191" t="s">
        <v>423</v>
      </c>
      <c r="R489" s="390" t="s">
        <v>423</v>
      </c>
    </row>
    <row r="490" spans="2:18">
      <c r="B490" s="240" t="str">
        <f t="shared" ref="B490:B553" si="22">IF($D$1=1,M490,IF($D$1=2,N490,IF($D$1=3,O490,IF($D$1=4,P490,IF($D$1=5,Q490,IF($D$1=6,R490,0))))))</f>
        <v>KRABY 355 60N</v>
      </c>
      <c r="M490" s="191" t="s">
        <v>424</v>
      </c>
      <c r="N490" s="191" t="s">
        <v>424</v>
      </c>
      <c r="O490" s="191" t="s">
        <v>424</v>
      </c>
      <c r="P490" s="191" t="s">
        <v>424</v>
      </c>
      <c r="Q490" s="191" t="s">
        <v>424</v>
      </c>
      <c r="R490" s="390" t="s">
        <v>424</v>
      </c>
    </row>
    <row r="491" spans="2:18">
      <c r="B491" s="240" t="str">
        <f t="shared" si="22"/>
        <v>KRABY 355 90N</v>
      </c>
      <c r="M491" s="191" t="s">
        <v>425</v>
      </c>
      <c r="N491" s="191" t="s">
        <v>425</v>
      </c>
      <c r="O491" s="191" t="s">
        <v>425</v>
      </c>
      <c r="P491" s="191" t="s">
        <v>425</v>
      </c>
      <c r="Q491" s="191" t="s">
        <v>425</v>
      </c>
      <c r="R491" s="390" t="s">
        <v>425</v>
      </c>
    </row>
    <row r="492" spans="2:18">
      <c r="B492" s="240" t="str">
        <f t="shared" si="22"/>
        <v>KRABY 355 120N</v>
      </c>
      <c r="M492" s="191" t="s">
        <v>426</v>
      </c>
      <c r="N492" s="191" t="s">
        <v>426</v>
      </c>
      <c r="O492" s="191" t="s">
        <v>426</v>
      </c>
      <c r="P492" s="191" t="s">
        <v>426</v>
      </c>
      <c r="Q492" s="191" t="s">
        <v>426</v>
      </c>
      <c r="R492" s="390" t="s">
        <v>426</v>
      </c>
    </row>
    <row r="493" spans="2:18">
      <c r="B493" s="240" t="str">
        <f t="shared" si="22"/>
        <v>K12 244 50N</v>
      </c>
      <c r="M493" s="191" t="s">
        <v>632</v>
      </c>
      <c r="N493" s="191" t="s">
        <v>632</v>
      </c>
      <c r="O493" s="191" t="s">
        <v>632</v>
      </c>
      <c r="P493" s="191" t="s">
        <v>632</v>
      </c>
      <c r="Q493" s="191" t="s">
        <v>632</v>
      </c>
      <c r="R493" s="390" t="s">
        <v>632</v>
      </c>
    </row>
    <row r="494" spans="2:18">
      <c r="B494" s="240" t="str">
        <f t="shared" si="22"/>
        <v>K12 244 80N</v>
      </c>
      <c r="M494" s="191" t="s">
        <v>633</v>
      </c>
      <c r="N494" s="191" t="s">
        <v>633</v>
      </c>
      <c r="O494" s="191" t="s">
        <v>633</v>
      </c>
      <c r="P494" s="191" t="s">
        <v>633</v>
      </c>
      <c r="Q494" s="191" t="s">
        <v>633</v>
      </c>
      <c r="R494" s="390" t="s">
        <v>633</v>
      </c>
    </row>
    <row r="495" spans="2:18">
      <c r="B495" s="240" t="str">
        <f t="shared" si="22"/>
        <v>K12 244 100N</v>
      </c>
      <c r="M495" s="191" t="s">
        <v>634</v>
      </c>
      <c r="N495" s="191" t="s">
        <v>634</v>
      </c>
      <c r="O495" s="191" t="s">
        <v>634</v>
      </c>
      <c r="P495" s="191" t="s">
        <v>634</v>
      </c>
      <c r="Q495" s="191" t="s">
        <v>634</v>
      </c>
      <c r="R495" s="390" t="s">
        <v>634</v>
      </c>
    </row>
    <row r="496" spans="2:18">
      <c r="B496" s="240" t="str">
        <f t="shared" si="22"/>
        <v>K12 244 120N</v>
      </c>
      <c r="M496" s="191" t="s">
        <v>635</v>
      </c>
      <c r="N496" s="191" t="s">
        <v>635</v>
      </c>
      <c r="O496" s="191" t="s">
        <v>635</v>
      </c>
      <c r="P496" s="191" t="s">
        <v>635</v>
      </c>
      <c r="Q496" s="191" t="s">
        <v>635</v>
      </c>
      <c r="R496" s="390" t="s">
        <v>635</v>
      </c>
    </row>
    <row r="497" spans="2:18">
      <c r="B497" s="240" t="str">
        <f t="shared" si="22"/>
        <v>K12 355 60N</v>
      </c>
      <c r="M497" s="191" t="s">
        <v>636</v>
      </c>
      <c r="N497" s="191" t="s">
        <v>636</v>
      </c>
      <c r="O497" s="191" t="s">
        <v>636</v>
      </c>
      <c r="P497" s="191" t="s">
        <v>636</v>
      </c>
      <c r="Q497" s="191" t="s">
        <v>636</v>
      </c>
      <c r="R497" s="390" t="s">
        <v>636</v>
      </c>
    </row>
    <row r="498" spans="2:18">
      <c r="B498" s="240" t="str">
        <f t="shared" si="22"/>
        <v>K12 355 90N</v>
      </c>
      <c r="M498" s="191" t="s">
        <v>637</v>
      </c>
      <c r="N498" s="191" t="s">
        <v>637</v>
      </c>
      <c r="O498" s="191" t="s">
        <v>637</v>
      </c>
      <c r="P498" s="191" t="s">
        <v>637</v>
      </c>
      <c r="Q498" s="191" t="s">
        <v>637</v>
      </c>
      <c r="R498" s="390" t="s">
        <v>637</v>
      </c>
    </row>
    <row r="499" spans="2:18">
      <c r="B499" s="240" t="str">
        <f t="shared" si="22"/>
        <v>K12 355 110N</v>
      </c>
      <c r="M499" s="191" t="s">
        <v>638</v>
      </c>
      <c r="N499" s="191" t="s">
        <v>638</v>
      </c>
      <c r="O499" s="191" t="s">
        <v>638</v>
      </c>
      <c r="P499" s="191" t="s">
        <v>638</v>
      </c>
      <c r="Q499" s="191" t="s">
        <v>638</v>
      </c>
      <c r="R499" s="390" t="s">
        <v>638</v>
      </c>
    </row>
    <row r="500" spans="2:18">
      <c r="B500" s="240" t="str">
        <f t="shared" si="22"/>
        <v>K12 355 130N</v>
      </c>
      <c r="M500" s="191" t="s">
        <v>639</v>
      </c>
      <c r="N500" s="191" t="s">
        <v>639</v>
      </c>
      <c r="O500" s="191" t="s">
        <v>639</v>
      </c>
      <c r="P500" s="191" t="s">
        <v>639</v>
      </c>
      <c r="Q500" s="191" t="s">
        <v>639</v>
      </c>
      <c r="R500" s="390" t="s">
        <v>639</v>
      </c>
    </row>
    <row r="501" spans="2:18">
      <c r="B501" s="240" t="str">
        <f t="shared" si="22"/>
        <v>STRONG dolny biały</v>
      </c>
      <c r="M501" s="191" t="s">
        <v>640</v>
      </c>
      <c r="N501" s="191" t="s">
        <v>782</v>
      </c>
      <c r="O501" s="191" t="s">
        <v>783</v>
      </c>
      <c r="P501" s="191" t="s">
        <v>784</v>
      </c>
      <c r="Q501" s="191" t="s">
        <v>1673</v>
      </c>
      <c r="R501" s="390" t="s">
        <v>4403</v>
      </c>
    </row>
    <row r="502" spans="2:18">
      <c r="B502" s="240" t="str">
        <f t="shared" si="22"/>
        <v>STRONG dolny szary</v>
      </c>
      <c r="M502" s="191" t="s">
        <v>641</v>
      </c>
      <c r="N502" s="191" t="s">
        <v>785</v>
      </c>
      <c r="O502" s="191" t="s">
        <v>786</v>
      </c>
      <c r="P502" s="191" t="s">
        <v>787</v>
      </c>
      <c r="Q502" s="191" t="s">
        <v>1674</v>
      </c>
      <c r="R502" s="390" t="s">
        <v>4408</v>
      </c>
    </row>
    <row r="503" spans="2:18">
      <c r="B503" s="240" t="str">
        <f t="shared" si="22"/>
        <v xml:space="preserve">HUWIL DUO (90°) </v>
      </c>
      <c r="M503" s="191" t="s">
        <v>642</v>
      </c>
      <c r="N503" s="191" t="s">
        <v>642</v>
      </c>
      <c r="O503" s="191" t="s">
        <v>642</v>
      </c>
      <c r="P503" s="191" t="s">
        <v>642</v>
      </c>
      <c r="Q503" s="191" t="s">
        <v>470</v>
      </c>
      <c r="R503" s="390" t="s">
        <v>470</v>
      </c>
    </row>
    <row r="504" spans="2:18">
      <c r="B504" s="240" t="str">
        <f t="shared" si="22"/>
        <v>HUWIL DUO FORTE</v>
      </c>
      <c r="M504" s="191" t="s">
        <v>630</v>
      </c>
      <c r="N504" s="191" t="s">
        <v>630</v>
      </c>
      <c r="O504" s="191" t="s">
        <v>630</v>
      </c>
      <c r="P504" s="191" t="s">
        <v>630</v>
      </c>
      <c r="Q504" s="191" t="s">
        <v>630</v>
      </c>
      <c r="R504" s="390" t="s">
        <v>630</v>
      </c>
    </row>
    <row r="505" spans="2:18">
      <c r="B505" s="240" t="str">
        <f t="shared" si="22"/>
        <v>KRABY 164 dolny</v>
      </c>
      <c r="M505" s="191" t="s">
        <v>643</v>
      </c>
      <c r="N505" s="191" t="s">
        <v>788</v>
      </c>
      <c r="O505" s="191" t="s">
        <v>789</v>
      </c>
      <c r="P505" s="191" t="s">
        <v>790</v>
      </c>
      <c r="Q505" s="191" t="s">
        <v>1512</v>
      </c>
      <c r="R505" s="390" t="s">
        <v>4405</v>
      </c>
    </row>
    <row r="506" spans="2:18">
      <c r="B506" s="240" t="str">
        <f t="shared" si="22"/>
        <v>KRABY 244 dolny</v>
      </c>
      <c r="M506" s="191" t="s">
        <v>644</v>
      </c>
      <c r="N506" s="191" t="s">
        <v>791</v>
      </c>
      <c r="O506" s="191" t="s">
        <v>792</v>
      </c>
      <c r="P506" s="191" t="s">
        <v>793</v>
      </c>
      <c r="Q506" s="191" t="s">
        <v>1513</v>
      </c>
      <c r="R506" s="390" t="s">
        <v>4406</v>
      </c>
    </row>
    <row r="507" spans="2:18">
      <c r="B507" s="240" t="str">
        <f t="shared" si="22"/>
        <v>KRABY 355 dolny</v>
      </c>
      <c r="M507" s="191" t="s">
        <v>645</v>
      </c>
      <c r="N507" s="191" t="s">
        <v>794</v>
      </c>
      <c r="O507" s="191" t="s">
        <v>795</v>
      </c>
      <c r="P507" s="191" t="s">
        <v>796</v>
      </c>
      <c r="Q507" s="191" t="s">
        <v>1514</v>
      </c>
      <c r="R507" s="390" t="s">
        <v>4407</v>
      </c>
    </row>
    <row r="508" spans="2:18">
      <c r="B508" s="240" t="str">
        <f t="shared" si="22"/>
        <v>nasuwany na wkręt H0</v>
      </c>
      <c r="M508" s="191" t="s">
        <v>651</v>
      </c>
      <c r="N508" s="191" t="s">
        <v>797</v>
      </c>
      <c r="O508" s="191" t="s">
        <v>798</v>
      </c>
      <c r="P508" s="191" t="s">
        <v>1401</v>
      </c>
      <c r="Q508" s="191" t="s">
        <v>1675</v>
      </c>
      <c r="R508" s="390" t="s">
        <v>4409</v>
      </c>
    </row>
    <row r="509" spans="2:18">
      <c r="B509" s="240" t="str">
        <f t="shared" si="22"/>
        <v>nasuwany EURO wkręt H0</v>
      </c>
      <c r="M509" s="191" t="s">
        <v>652</v>
      </c>
      <c r="N509" s="191" t="s">
        <v>799</v>
      </c>
      <c r="O509" s="191" t="s">
        <v>800</v>
      </c>
      <c r="P509" s="191" t="s">
        <v>1402</v>
      </c>
      <c r="Q509" s="191" t="s">
        <v>1676</v>
      </c>
      <c r="R509" s="390" t="s">
        <v>4410</v>
      </c>
    </row>
    <row r="510" spans="2:18">
      <c r="B510" s="240" t="str">
        <f t="shared" si="22"/>
        <v>nasuwany na wkręt H2</v>
      </c>
      <c r="M510" s="191" t="s">
        <v>653</v>
      </c>
      <c r="N510" s="191" t="s">
        <v>801</v>
      </c>
      <c r="O510" s="191" t="s">
        <v>802</v>
      </c>
      <c r="P510" s="191" t="s">
        <v>803</v>
      </c>
      <c r="Q510" s="191" t="s">
        <v>1677</v>
      </c>
      <c r="R510" s="390" t="s">
        <v>4411</v>
      </c>
    </row>
    <row r="511" spans="2:18">
      <c r="B511" s="240" t="str">
        <f t="shared" si="22"/>
        <v>nasuwany EURO wkręt H2</v>
      </c>
      <c r="M511" s="191" t="s">
        <v>654</v>
      </c>
      <c r="N511" s="191" t="s">
        <v>804</v>
      </c>
      <c r="O511" s="191" t="s">
        <v>805</v>
      </c>
      <c r="P511" s="191" t="s">
        <v>1403</v>
      </c>
      <c r="Q511" s="191" t="s">
        <v>1678</v>
      </c>
      <c r="R511" s="390" t="s">
        <v>4412</v>
      </c>
    </row>
    <row r="512" spans="2:18">
      <c r="B512" s="240" t="str">
        <f t="shared" si="22"/>
        <v>Clip na wkręt H2</v>
      </c>
      <c r="M512" s="191" t="s">
        <v>89</v>
      </c>
      <c r="N512" s="191" t="s">
        <v>166</v>
      </c>
      <c r="O512" s="191" t="s">
        <v>227</v>
      </c>
      <c r="P512" s="191" t="s">
        <v>290</v>
      </c>
      <c r="Q512" s="191" t="s">
        <v>1576</v>
      </c>
      <c r="R512" s="390" t="s">
        <v>4413</v>
      </c>
    </row>
    <row r="513" spans="2:18">
      <c r="B513" s="240" t="str">
        <f t="shared" si="22"/>
        <v>Clip wkręt z mimośrodem H0</v>
      </c>
      <c r="M513" s="191" t="s">
        <v>655</v>
      </c>
      <c r="N513" s="191" t="s">
        <v>806</v>
      </c>
      <c r="O513" s="191" t="s">
        <v>807</v>
      </c>
      <c r="P513" s="191" t="s">
        <v>928</v>
      </c>
      <c r="Q513" s="191" t="s">
        <v>1679</v>
      </c>
      <c r="R513" s="390" t="s">
        <v>4414</v>
      </c>
    </row>
    <row r="514" spans="2:18">
      <c r="B514" s="240" t="str">
        <f t="shared" si="22"/>
        <v>Clip na wkręt H0</v>
      </c>
      <c r="M514" s="191" t="s">
        <v>87</v>
      </c>
      <c r="N514" s="191" t="s">
        <v>182</v>
      </c>
      <c r="O514" s="191" t="s">
        <v>243</v>
      </c>
      <c r="P514" s="191" t="s">
        <v>306</v>
      </c>
      <c r="Q514" s="191" t="s">
        <v>1595</v>
      </c>
      <c r="R514" s="390" t="s">
        <v>4415</v>
      </c>
    </row>
    <row r="515" spans="2:18">
      <c r="B515" s="240" t="str">
        <f t="shared" si="22"/>
        <v>Minimalny rozmiar ramek wynosi 140x140mm</v>
      </c>
      <c r="M515" s="191" t="s">
        <v>811</v>
      </c>
      <c r="N515" s="191" t="s">
        <v>812</v>
      </c>
      <c r="O515" s="191" t="s">
        <v>813</v>
      </c>
      <c r="P515" s="191" t="s">
        <v>814</v>
      </c>
      <c r="Q515" s="191" t="s">
        <v>1013</v>
      </c>
      <c r="R515" s="390" t="s">
        <v>4202</v>
      </c>
    </row>
    <row r="516" spans="2:18">
      <c r="B516" s="240" t="str">
        <f t="shared" si="22"/>
        <v>Sensys SiSy nakładany</v>
      </c>
      <c r="M516" s="214" t="s">
        <v>815</v>
      </c>
      <c r="N516" s="191" t="s">
        <v>815</v>
      </c>
      <c r="O516" s="191" t="s">
        <v>901</v>
      </c>
      <c r="P516" s="191" t="s">
        <v>902</v>
      </c>
      <c r="Q516" s="191" t="s">
        <v>1680</v>
      </c>
      <c r="R516" s="390" t="s">
        <v>4416</v>
      </c>
    </row>
    <row r="517" spans="2:18">
      <c r="B517" s="240" t="str">
        <f t="shared" si="22"/>
        <v>Sensys SiSy półnakładany</v>
      </c>
      <c r="M517" s="214" t="s">
        <v>816</v>
      </c>
      <c r="N517" s="191" t="s">
        <v>816</v>
      </c>
      <c r="O517" s="191" t="s">
        <v>909</v>
      </c>
      <c r="P517" s="191" t="s">
        <v>1404</v>
      </c>
      <c r="Q517" s="191" t="s">
        <v>1681</v>
      </c>
      <c r="R517" s="390" t="s">
        <v>4417</v>
      </c>
    </row>
    <row r="518" spans="2:18">
      <c r="B518" s="240" t="str">
        <f t="shared" si="22"/>
        <v xml:space="preserve">Sensys SiSy wpuszczany </v>
      </c>
      <c r="M518" s="214" t="s">
        <v>817</v>
      </c>
      <c r="N518" s="191" t="s">
        <v>921</v>
      </c>
      <c r="O518" s="191" t="s">
        <v>922</v>
      </c>
      <c r="P518" s="191" t="s">
        <v>1405</v>
      </c>
      <c r="Q518" s="191" t="s">
        <v>1682</v>
      </c>
      <c r="R518" s="390" t="s">
        <v>4418</v>
      </c>
    </row>
    <row r="519" spans="2:18">
      <c r="B519" s="240" t="str">
        <f t="shared" si="22"/>
        <v>Sensys P2o nakładany</v>
      </c>
      <c r="M519" s="214" t="s">
        <v>818</v>
      </c>
      <c r="N519" s="191" t="s">
        <v>818</v>
      </c>
      <c r="O519" s="191" t="s">
        <v>903</v>
      </c>
      <c r="P519" s="191" t="s">
        <v>904</v>
      </c>
      <c r="Q519" s="191" t="s">
        <v>1683</v>
      </c>
      <c r="R519" s="390" t="s">
        <v>4419</v>
      </c>
    </row>
    <row r="520" spans="2:18">
      <c r="B520" s="240" t="str">
        <f t="shared" si="22"/>
        <v>Sensys P2o półnakładany</v>
      </c>
      <c r="M520" s="214" t="s">
        <v>819</v>
      </c>
      <c r="N520" s="191" t="s">
        <v>819</v>
      </c>
      <c r="O520" s="191" t="s">
        <v>910</v>
      </c>
      <c r="P520" s="191" t="s">
        <v>1406</v>
      </c>
      <c r="Q520" s="191" t="s">
        <v>1684</v>
      </c>
      <c r="R520" s="390" t="s">
        <v>4420</v>
      </c>
    </row>
    <row r="521" spans="2:18">
      <c r="B521" s="240" t="str">
        <f t="shared" si="22"/>
        <v xml:space="preserve">Sensys P2o wpuszczany </v>
      </c>
      <c r="M521" s="214" t="s">
        <v>820</v>
      </c>
      <c r="N521" s="191" t="s">
        <v>923</v>
      </c>
      <c r="O521" s="191" t="s">
        <v>924</v>
      </c>
      <c r="P521" s="191" t="s">
        <v>1407</v>
      </c>
      <c r="Q521" s="191" t="s">
        <v>1685</v>
      </c>
      <c r="R521" s="390" t="s">
        <v>4421</v>
      </c>
    </row>
    <row r="522" spans="2:18">
      <c r="B522" s="240" t="str">
        <f t="shared" si="22"/>
        <v>Sensys P2o nakładany</v>
      </c>
      <c r="M522" s="214" t="s">
        <v>821</v>
      </c>
      <c r="N522" s="191" t="s">
        <v>818</v>
      </c>
      <c r="O522" s="191" t="s">
        <v>903</v>
      </c>
      <c r="P522" s="191" t="s">
        <v>904</v>
      </c>
      <c r="Q522" s="191" t="s">
        <v>1686</v>
      </c>
      <c r="R522" s="390" t="s">
        <v>4203</v>
      </c>
    </row>
    <row r="523" spans="2:18">
      <c r="B523" s="240" t="str">
        <f t="shared" si="22"/>
        <v>nakładany z tłumieniem clip 110° ONYX</v>
      </c>
      <c r="M523" s="191" t="s">
        <v>822</v>
      </c>
      <c r="N523" s="191" t="s">
        <v>905</v>
      </c>
      <c r="O523" s="191" t="s">
        <v>906</v>
      </c>
      <c r="P523" s="191" t="s">
        <v>919</v>
      </c>
      <c r="Q523" s="191" t="s">
        <v>1687</v>
      </c>
      <c r="R523" s="390" t="s">
        <v>4204</v>
      </c>
    </row>
    <row r="524" spans="2:18">
      <c r="B524" s="240" t="str">
        <f t="shared" si="22"/>
        <v>półnakładany z tłumieniem clip 110° ONYX</v>
      </c>
      <c r="M524" s="191" t="s">
        <v>823</v>
      </c>
      <c r="N524" s="191" t="s">
        <v>907</v>
      </c>
      <c r="O524" s="191" t="s">
        <v>908</v>
      </c>
      <c r="P524" s="191" t="s">
        <v>1408</v>
      </c>
      <c r="Q524" s="191" t="s">
        <v>1688</v>
      </c>
      <c r="R524" s="390" t="s">
        <v>4205</v>
      </c>
    </row>
    <row r="525" spans="2:18">
      <c r="B525" s="240" t="str">
        <f t="shared" si="22"/>
        <v>wpuszczany z tłumieniem clip 110° Onyx</v>
      </c>
      <c r="M525" s="191" t="s">
        <v>824</v>
      </c>
      <c r="N525" s="191" t="s">
        <v>925</v>
      </c>
      <c r="O525" s="191" t="s">
        <v>926</v>
      </c>
      <c r="P525" s="191" t="s">
        <v>1409</v>
      </c>
      <c r="Q525" s="191" t="s">
        <v>1689</v>
      </c>
      <c r="R525" s="390" t="s">
        <v>4206</v>
      </c>
    </row>
    <row r="526" spans="2:18">
      <c r="B526" s="240" t="str">
        <f t="shared" si="22"/>
        <v>nakładany clip 95° Onyx</v>
      </c>
      <c r="M526" s="191" t="s">
        <v>825</v>
      </c>
      <c r="N526" s="191" t="s">
        <v>911</v>
      </c>
      <c r="O526" s="191" t="s">
        <v>912</v>
      </c>
      <c r="P526" s="191" t="s">
        <v>920</v>
      </c>
      <c r="Q526" s="191" t="s">
        <v>1690</v>
      </c>
      <c r="R526" s="390" t="s">
        <v>4207</v>
      </c>
    </row>
    <row r="527" spans="2:18">
      <c r="B527" s="240" t="str">
        <f t="shared" si="22"/>
        <v>StrongHinges S3</v>
      </c>
      <c r="M527" s="191" t="s">
        <v>2538</v>
      </c>
      <c r="N527" s="191" t="s">
        <v>2538</v>
      </c>
      <c r="O527" s="191" t="s">
        <v>2538</v>
      </c>
      <c r="P527" s="191" t="s">
        <v>2538</v>
      </c>
      <c r="Q527" s="191" t="s">
        <v>2538</v>
      </c>
      <c r="R527" s="390" t="s">
        <v>2538</v>
      </c>
    </row>
    <row r="528" spans="2:18">
      <c r="B528" s="240" t="str">
        <f t="shared" si="22"/>
        <v xml:space="preserve">StrongHinges S3 nakładany clip bez sprężyny </v>
      </c>
      <c r="M528" s="191" t="s">
        <v>2539</v>
      </c>
      <c r="N528" s="191" t="s">
        <v>2540</v>
      </c>
      <c r="O528" s="191" t="s">
        <v>2541</v>
      </c>
      <c r="P528" s="191" t="s">
        <v>2542</v>
      </c>
      <c r="Q528" s="191" t="s">
        <v>2543</v>
      </c>
      <c r="R528" s="390" t="s">
        <v>4422</v>
      </c>
    </row>
    <row r="529" spans="2:18">
      <c r="B529" s="240" t="str">
        <f t="shared" si="22"/>
        <v xml:space="preserve">StrongHinges S3 nakładany clip bez sprężyny </v>
      </c>
      <c r="M529" s="191" t="s">
        <v>2539</v>
      </c>
      <c r="N529" s="191" t="s">
        <v>2544</v>
      </c>
      <c r="O529" s="191" t="s">
        <v>2541</v>
      </c>
      <c r="P529" s="191" t="s">
        <v>2542</v>
      </c>
      <c r="Q529" s="191" t="s">
        <v>2543</v>
      </c>
      <c r="R529" s="390" t="s">
        <v>4422</v>
      </c>
    </row>
    <row r="530" spans="2:18">
      <c r="B530" s="240" t="str">
        <f t="shared" si="22"/>
        <v xml:space="preserve">StrongHinges S3 wpuszczany bez sprężyny </v>
      </c>
      <c r="M530" s="191" t="s">
        <v>2495</v>
      </c>
      <c r="N530" s="191" t="s">
        <v>2545</v>
      </c>
      <c r="O530" s="191" t="s">
        <v>2546</v>
      </c>
      <c r="P530" s="191" t="s">
        <v>2547</v>
      </c>
      <c r="Q530" s="191" t="s">
        <v>2496</v>
      </c>
      <c r="R530" s="390" t="s">
        <v>4423</v>
      </c>
    </row>
    <row r="531" spans="2:18">
      <c r="B531" s="240" t="str">
        <f t="shared" si="22"/>
        <v xml:space="preserve">StrongHinges S3 30° clip bez sprężyny </v>
      </c>
      <c r="M531" s="191" t="s">
        <v>2548</v>
      </c>
      <c r="N531" s="191" t="s">
        <v>2549</v>
      </c>
      <c r="O531" s="191" t="s">
        <v>2550</v>
      </c>
      <c r="P531" s="191" t="s">
        <v>2551</v>
      </c>
      <c r="Q531" s="191" t="s">
        <v>2552</v>
      </c>
      <c r="R531" s="390" t="s">
        <v>4424</v>
      </c>
    </row>
    <row r="532" spans="2:18">
      <c r="B532" s="240" t="str">
        <f t="shared" si="22"/>
        <v>StrongHinges S3 nakładany Clip</v>
      </c>
      <c r="M532" s="191" t="s">
        <v>2553</v>
      </c>
      <c r="N532" s="191" t="s">
        <v>2553</v>
      </c>
      <c r="O532" s="191" t="s">
        <v>2554</v>
      </c>
      <c r="P532" s="191" t="s">
        <v>2555</v>
      </c>
      <c r="Q532" s="191" t="s">
        <v>2556</v>
      </c>
      <c r="R532" s="390" t="s">
        <v>4425</v>
      </c>
    </row>
    <row r="533" spans="2:18">
      <c r="B533" s="240" t="str">
        <f t="shared" si="22"/>
        <v>StrongHinges S3 półnakładany ¨clip</v>
      </c>
      <c r="M533" s="191" t="s">
        <v>2557</v>
      </c>
      <c r="N533" s="191" t="s">
        <v>2557</v>
      </c>
      <c r="O533" s="191" t="s">
        <v>2558</v>
      </c>
      <c r="P533" s="191" t="s">
        <v>2559</v>
      </c>
      <c r="Q533" s="191" t="s">
        <v>2560</v>
      </c>
      <c r="R533" s="390" t="s">
        <v>4426</v>
      </c>
    </row>
    <row r="534" spans="2:18">
      <c r="B534" s="240" t="str">
        <f t="shared" si="22"/>
        <v>StrongHinges S3 wpuszczany Clip</v>
      </c>
      <c r="M534" s="191" t="s">
        <v>2561</v>
      </c>
      <c r="N534" s="191" t="s">
        <v>2561</v>
      </c>
      <c r="O534" s="191" t="s">
        <v>2562</v>
      </c>
      <c r="P534" s="191" t="s">
        <v>2563</v>
      </c>
      <c r="Q534" s="191" t="s">
        <v>2564</v>
      </c>
      <c r="R534" s="390" t="s">
        <v>4427</v>
      </c>
    </row>
    <row r="535" spans="2:18">
      <c r="B535" s="240" t="str">
        <f t="shared" si="22"/>
        <v>StrongHinges S3 30°clip</v>
      </c>
      <c r="M535" s="191" t="s">
        <v>2565</v>
      </c>
      <c r="N535" s="191" t="s">
        <v>2565</v>
      </c>
      <c r="O535" s="191" t="s">
        <v>2565</v>
      </c>
      <c r="P535" s="191" t="s">
        <v>2565</v>
      </c>
      <c r="Q535" s="191" t="s">
        <v>2566</v>
      </c>
      <c r="R535" s="390" t="s">
        <v>4428</v>
      </c>
    </row>
    <row r="536" spans="2:18">
      <c r="B536" s="240" t="str">
        <f t="shared" si="22"/>
        <v>StrongHinges S3 nakładany Clip</v>
      </c>
      <c r="M536" s="191" t="s">
        <v>2553</v>
      </c>
      <c r="N536" s="191" t="s">
        <v>2553</v>
      </c>
      <c r="O536" s="191" t="s">
        <v>2554</v>
      </c>
      <c r="P536" s="191" t="s">
        <v>2555</v>
      </c>
      <c r="Q536" s="191" t="s">
        <v>2556</v>
      </c>
      <c r="R536" s="390" t="s">
        <v>4425</v>
      </c>
    </row>
    <row r="537" spans="2:18">
      <c r="B537" s="240" t="str">
        <f t="shared" si="22"/>
        <v xml:space="preserve">StrongHinges S3 nakładany clip bez sprężyny </v>
      </c>
      <c r="M537" s="191" t="s">
        <v>2539</v>
      </c>
      <c r="N537" s="191" t="s">
        <v>2540</v>
      </c>
      <c r="O537" s="191" t="s">
        <v>2541</v>
      </c>
      <c r="P537" s="191" t="s">
        <v>2542</v>
      </c>
      <c r="Q537" s="191" t="s">
        <v>2543</v>
      </c>
      <c r="R537" s="390" t="s">
        <v>4422</v>
      </c>
    </row>
    <row r="538" spans="2:18">
      <c r="B538" s="240" t="str">
        <f t="shared" si="22"/>
        <v>StrongHinges S3 Clip wkręt z mimośrodem H0</v>
      </c>
      <c r="M538" s="191" t="s">
        <v>2567</v>
      </c>
      <c r="N538" s="191" t="s">
        <v>2568</v>
      </c>
      <c r="O538" s="191" t="s">
        <v>2569</v>
      </c>
      <c r="P538" s="191" t="s">
        <v>2570</v>
      </c>
      <c r="Q538" s="191" t="s">
        <v>2571</v>
      </c>
      <c r="R538" s="390" t="s">
        <v>4429</v>
      </c>
    </row>
    <row r="539" spans="2:18">
      <c r="B539" s="240" t="str">
        <f t="shared" si="22"/>
        <v>StrongHinges S3 Clip wkręt z mimośrodem H2</v>
      </c>
      <c r="M539" s="191" t="s">
        <v>2572</v>
      </c>
      <c r="N539" s="191" t="s">
        <v>2573</v>
      </c>
      <c r="O539" s="191" t="s">
        <v>2574</v>
      </c>
      <c r="P539" s="191" t="s">
        <v>2575</v>
      </c>
      <c r="Q539" s="191" t="s">
        <v>2576</v>
      </c>
      <c r="R539" s="390" t="s">
        <v>4208</v>
      </c>
    </row>
    <row r="540" spans="2:18">
      <c r="B540" s="240" t="str">
        <f t="shared" si="22"/>
        <v>Wprowadzenie</v>
      </c>
      <c r="M540" s="191" t="s">
        <v>929</v>
      </c>
      <c r="N540" s="191" t="s">
        <v>929</v>
      </c>
      <c r="O540" s="191" t="s">
        <v>930</v>
      </c>
      <c r="P540" s="191" t="s">
        <v>1410</v>
      </c>
      <c r="Q540" s="191" t="s">
        <v>1014</v>
      </c>
      <c r="R540" s="390" t="s">
        <v>4209</v>
      </c>
    </row>
    <row r="541" spans="2:18">
      <c r="B541" s="240" t="str">
        <f t="shared" si="22"/>
        <v>Maksymalne wymiary ramki Corleone to 1500x600mm</v>
      </c>
      <c r="M541" s="233" t="s">
        <v>937</v>
      </c>
      <c r="N541" s="191" t="s">
        <v>938</v>
      </c>
      <c r="O541" s="191" t="s">
        <v>939</v>
      </c>
      <c r="P541" s="191" t="s">
        <v>940</v>
      </c>
      <c r="Q541" s="191" t="s">
        <v>1691</v>
      </c>
      <c r="R541" s="390" t="s">
        <v>4210</v>
      </c>
    </row>
    <row r="542" spans="2:18">
      <c r="B542" s="240" t="str">
        <f t="shared" si="22"/>
        <v>Połączenie 2 profili</v>
      </c>
      <c r="M542" s="191" t="s">
        <v>1091</v>
      </c>
      <c r="N542" s="191" t="s">
        <v>1221</v>
      </c>
      <c r="O542" s="191" t="s">
        <v>1222</v>
      </c>
      <c r="P542" s="191" t="s">
        <v>1223</v>
      </c>
      <c r="Q542" s="191" t="s">
        <v>1692</v>
      </c>
      <c r="R542" s="390" t="s">
        <v>4211</v>
      </c>
    </row>
    <row r="543" spans="2:18">
      <c r="B543" s="240" t="str">
        <f t="shared" si="22"/>
        <v>Szprosy</v>
      </c>
      <c r="M543" s="191" t="s">
        <v>1224</v>
      </c>
      <c r="N543" s="191" t="s">
        <v>1226</v>
      </c>
      <c r="O543" s="191" t="s">
        <v>1018</v>
      </c>
      <c r="P543" s="191" t="s">
        <v>1225</v>
      </c>
      <c r="Q543" s="191" t="s">
        <v>1515</v>
      </c>
      <c r="R543" s="390" t="s">
        <v>4212</v>
      </c>
    </row>
    <row r="544" spans="2:18">
      <c r="B544" s="240" t="str">
        <f t="shared" si="22"/>
        <v>Marka okucia</v>
      </c>
      <c r="M544" s="191" t="s">
        <v>1093</v>
      </c>
      <c r="N544" s="191" t="s">
        <v>1227</v>
      </c>
      <c r="O544" s="191" t="s">
        <v>1228</v>
      </c>
      <c r="P544" s="191" t="s">
        <v>1411</v>
      </c>
      <c r="Q544" s="191" t="s">
        <v>1530</v>
      </c>
      <c r="R544" s="390" t="s">
        <v>4213</v>
      </c>
    </row>
    <row r="545" spans="2:18">
      <c r="B545" s="240" t="str">
        <f t="shared" si="22"/>
        <v>Wariant okucia</v>
      </c>
      <c r="M545" s="191" t="s">
        <v>1094</v>
      </c>
      <c r="N545" s="191" t="s">
        <v>1230</v>
      </c>
      <c r="O545" s="191" t="s">
        <v>1229</v>
      </c>
      <c r="P545" s="191" t="s">
        <v>1412</v>
      </c>
      <c r="Q545" s="191" t="s">
        <v>1529</v>
      </c>
      <c r="R545" s="390" t="s">
        <v>4214</v>
      </c>
    </row>
    <row r="546" spans="2:18">
      <c r="B546" s="240" t="str">
        <f t="shared" si="22"/>
        <v>Nałożenie</v>
      </c>
      <c r="M546" s="191" t="s">
        <v>1203</v>
      </c>
      <c r="N546" s="191" t="s">
        <v>1231</v>
      </c>
      <c r="O546" s="191" t="s">
        <v>1435</v>
      </c>
      <c r="P546" s="191" t="s">
        <v>1232</v>
      </c>
      <c r="Q546" s="191" t="s">
        <v>1516</v>
      </c>
      <c r="R546" s="390" t="s">
        <v>4215</v>
      </c>
    </row>
    <row r="547" spans="2:18">
      <c r="B547" s="240" t="str">
        <f t="shared" si="22"/>
        <v>Zawiasy do podnośników</v>
      </c>
      <c r="M547" s="191" t="s">
        <v>2457</v>
      </c>
      <c r="N547" s="191" t="s">
        <v>1233</v>
      </c>
      <c r="O547" s="191" t="s">
        <v>1436</v>
      </c>
      <c r="P547" s="191" t="s">
        <v>1413</v>
      </c>
      <c r="Q547" s="191" t="s">
        <v>1693</v>
      </c>
      <c r="R547" s="390" t="s">
        <v>4216</v>
      </c>
    </row>
    <row r="548" spans="2:18">
      <c r="B548" s="240" t="str">
        <f t="shared" si="22"/>
        <v>Rozstaw</v>
      </c>
      <c r="M548" s="191" t="s">
        <v>1236</v>
      </c>
      <c r="N548" s="191" t="s">
        <v>1236</v>
      </c>
      <c r="O548" s="191" t="s">
        <v>1237</v>
      </c>
      <c r="P548" s="191" t="s">
        <v>1238</v>
      </c>
      <c r="Q548" s="191" t="s">
        <v>1517</v>
      </c>
      <c r="R548" s="390" t="s">
        <v>4217</v>
      </c>
    </row>
    <row r="549" spans="2:18">
      <c r="B549" s="240" t="str">
        <f t="shared" si="22"/>
        <v>Rozstaw uchwytu (mm)</v>
      </c>
      <c r="M549" s="191" t="s">
        <v>1460</v>
      </c>
      <c r="N549" s="191" t="s">
        <v>1461</v>
      </c>
      <c r="O549" s="191" t="s">
        <v>1462</v>
      </c>
      <c r="P549" s="191" t="s">
        <v>1463</v>
      </c>
      <c r="Q549" s="191" t="s">
        <v>1532</v>
      </c>
      <c r="R549" s="390" t="s">
        <v>4218</v>
      </c>
    </row>
    <row r="550" spans="2:18">
      <c r="B550" s="240" t="str">
        <f t="shared" si="22"/>
        <v>Umieszczenie uchwytu</v>
      </c>
      <c r="M550" s="191" t="s">
        <v>1126</v>
      </c>
      <c r="N550" s="191" t="s">
        <v>1234</v>
      </c>
      <c r="O550" s="191" t="s">
        <v>1437</v>
      </c>
      <c r="P550" s="191" t="s">
        <v>1235</v>
      </c>
      <c r="Q550" s="191" t="s">
        <v>1533</v>
      </c>
      <c r="R550" s="390" t="s">
        <v>4219</v>
      </c>
    </row>
    <row r="551" spans="2:18">
      <c r="B551" s="240" t="str">
        <f t="shared" si="22"/>
        <v>Zawiasy</v>
      </c>
      <c r="M551" s="191" t="s">
        <v>401</v>
      </c>
      <c r="N551" s="191" t="s">
        <v>402</v>
      </c>
      <c r="O551" s="191" t="s">
        <v>403</v>
      </c>
      <c r="P551" s="191" t="s">
        <v>404</v>
      </c>
      <c r="Q551" s="191" t="s">
        <v>1565</v>
      </c>
      <c r="R551" s="390" t="s">
        <v>4017</v>
      </c>
    </row>
    <row r="552" spans="2:18">
      <c r="B552" s="240" t="str">
        <f t="shared" si="22"/>
        <v>Podnośniki</v>
      </c>
      <c r="M552" s="191" t="s">
        <v>610</v>
      </c>
      <c r="N552" s="191" t="s">
        <v>610</v>
      </c>
      <c r="O552" s="191" t="s">
        <v>1252</v>
      </c>
      <c r="P552" s="191" t="s">
        <v>1253</v>
      </c>
      <c r="Q552" s="191" t="s">
        <v>1694</v>
      </c>
      <c r="R552" s="390" t="s">
        <v>4220</v>
      </c>
    </row>
    <row r="553" spans="2:18">
      <c r="B553" s="240" t="str">
        <f t="shared" si="22"/>
        <v>Nakładany</v>
      </c>
      <c r="M553" s="233" t="s">
        <v>69</v>
      </c>
      <c r="N553" s="191" t="s">
        <v>69</v>
      </c>
      <c r="O553" s="191" t="s">
        <v>222</v>
      </c>
      <c r="P553" s="191" t="s">
        <v>286</v>
      </c>
      <c r="Q553" s="191" t="s">
        <v>1716</v>
      </c>
      <c r="R553" s="390" t="s">
        <v>4027</v>
      </c>
    </row>
    <row r="554" spans="2:18">
      <c r="B554" s="240" t="str">
        <f t="shared" ref="B554:B567" si="23">IF($D$1=1,M554,IF($D$1=2,N554,IF($D$1=3,O554,IF($D$1=4,P554,IF($D$1=5,Q554,IF($D$1=6,R554,0))))))</f>
        <v>Półnakładany</v>
      </c>
      <c r="M554" s="233" t="s">
        <v>70</v>
      </c>
      <c r="N554" s="191" t="s">
        <v>70</v>
      </c>
      <c r="O554" s="191" t="s">
        <v>223</v>
      </c>
      <c r="P554" s="191" t="s">
        <v>1363</v>
      </c>
      <c r="Q554" s="191" t="s">
        <v>1573</v>
      </c>
      <c r="R554" s="390" t="s">
        <v>4221</v>
      </c>
    </row>
    <row r="555" spans="2:18">
      <c r="B555" s="240" t="str">
        <f t="shared" si="23"/>
        <v>Wpuszczany</v>
      </c>
      <c r="M555" s="233" t="s">
        <v>71</v>
      </c>
      <c r="N555" s="191" t="s">
        <v>71</v>
      </c>
      <c r="O555" s="191" t="s">
        <v>1254</v>
      </c>
      <c r="P555" s="191" t="s">
        <v>1364</v>
      </c>
      <c r="Q555" s="191" t="s">
        <v>991</v>
      </c>
      <c r="R555" s="390" t="s">
        <v>4222</v>
      </c>
    </row>
    <row r="556" spans="2:18">
      <c r="B556" s="240" t="str">
        <f t="shared" si="23"/>
        <v>Tak</v>
      </c>
      <c r="M556" s="233" t="s">
        <v>1289</v>
      </c>
      <c r="N556" s="191" t="s">
        <v>1295</v>
      </c>
      <c r="O556" s="191" t="s">
        <v>1294</v>
      </c>
      <c r="P556" s="191" t="s">
        <v>1291</v>
      </c>
      <c r="Q556" s="191" t="s">
        <v>1518</v>
      </c>
      <c r="R556" s="390" t="s">
        <v>4223</v>
      </c>
    </row>
    <row r="557" spans="2:18">
      <c r="B557" s="240" t="str">
        <f t="shared" si="23"/>
        <v>Nie</v>
      </c>
      <c r="M557" s="233" t="s">
        <v>1290</v>
      </c>
      <c r="N557" s="191" t="s">
        <v>1293</v>
      </c>
      <c r="O557" s="191" t="s">
        <v>1293</v>
      </c>
      <c r="P557" s="191" t="s">
        <v>1292</v>
      </c>
      <c r="Q557" s="191" t="s">
        <v>1519</v>
      </c>
      <c r="R557" s="390" t="s">
        <v>4224</v>
      </c>
    </row>
    <row r="558" spans="2:18">
      <c r="B558" s="240" t="str">
        <f t="shared" si="23"/>
        <v>Poziomo (termin dostawy 4 tygodnie)</v>
      </c>
      <c r="M558" s="233" t="s">
        <v>3327</v>
      </c>
      <c r="N558" s="191" t="s">
        <v>3328</v>
      </c>
      <c r="O558" s="191" t="s">
        <v>3329</v>
      </c>
      <c r="P558" s="191" t="s">
        <v>3330</v>
      </c>
      <c r="Q558" s="191" t="s">
        <v>3331</v>
      </c>
      <c r="R558" s="390" t="s">
        <v>4225</v>
      </c>
    </row>
    <row r="559" spans="2:18">
      <c r="B559" s="240" t="str">
        <f t="shared" si="23"/>
        <v>Pionowo (termin dostawy 4 tygodnie)</v>
      </c>
      <c r="M559" s="233" t="s">
        <v>3332</v>
      </c>
      <c r="N559" s="191" t="s">
        <v>3333</v>
      </c>
      <c r="O559" s="191" t="s">
        <v>3334</v>
      </c>
      <c r="P559" s="191" t="s">
        <v>3335</v>
      </c>
      <c r="Q559" s="191" t="s">
        <v>3336</v>
      </c>
      <c r="R559" s="390" t="s">
        <v>4226</v>
      </c>
    </row>
    <row r="560" spans="2:18">
      <c r="B560" s="240" t="str">
        <f t="shared" si="23"/>
        <v>Poziomo i pionowo (termin dostawy 4 tygodnie)</v>
      </c>
      <c r="M560" s="233" t="s">
        <v>3337</v>
      </c>
      <c r="N560" s="191" t="s">
        <v>3338</v>
      </c>
      <c r="O560" s="191" t="s">
        <v>3339</v>
      </c>
      <c r="P560" s="191" t="s">
        <v>3340</v>
      </c>
      <c r="Q560" s="191" t="s">
        <v>3341</v>
      </c>
      <c r="R560" s="390" t="s">
        <v>4227</v>
      </c>
    </row>
    <row r="561" spans="2:18">
      <c r="B561" s="240" t="str">
        <f t="shared" si="23"/>
        <v>Ramka złożona z dwóch różnych profili</v>
      </c>
      <c r="M561" s="191" t="s">
        <v>1092</v>
      </c>
      <c r="N561" s="191" t="s">
        <v>1297</v>
      </c>
      <c r="O561" s="191" t="s">
        <v>1438</v>
      </c>
      <c r="P561" s="191" t="s">
        <v>1298</v>
      </c>
      <c r="Q561" s="191" t="s">
        <v>1695</v>
      </c>
      <c r="R561" s="390" t="s">
        <v>4228</v>
      </c>
    </row>
    <row r="562" spans="2:18">
      <c r="B562" s="240" t="str">
        <f t="shared" si="23"/>
        <v>Rodzaj folii</v>
      </c>
      <c r="M562" s="233" t="s">
        <v>1028</v>
      </c>
      <c r="N562" s="191" t="s">
        <v>1325</v>
      </c>
      <c r="O562" s="191" t="s">
        <v>1326</v>
      </c>
      <c r="P562" s="191" t="s">
        <v>1327</v>
      </c>
      <c r="Q562" s="191" t="s">
        <v>1696</v>
      </c>
      <c r="R562" s="390" t="s">
        <v>4229</v>
      </c>
    </row>
    <row r="563" spans="2:18">
      <c r="B563" s="240" t="str">
        <f t="shared" si="23"/>
        <v>transparentna</v>
      </c>
      <c r="M563" s="191" t="s">
        <v>1039</v>
      </c>
      <c r="N563" s="191" t="s">
        <v>1328</v>
      </c>
      <c r="O563" s="191" t="s">
        <v>1439</v>
      </c>
      <c r="P563" s="191" t="s">
        <v>1331</v>
      </c>
      <c r="Q563" s="191" t="s">
        <v>1520</v>
      </c>
      <c r="R563" s="390" t="s">
        <v>1520</v>
      </c>
    </row>
    <row r="564" spans="2:18">
      <c r="B564" s="240" t="str">
        <f t="shared" si="23"/>
        <v>Biała</v>
      </c>
      <c r="M564" s="191" t="s">
        <v>1042</v>
      </c>
      <c r="N564" s="191" t="s">
        <v>1329</v>
      </c>
      <c r="O564" s="191" t="s">
        <v>1440</v>
      </c>
      <c r="P564" s="191" t="s">
        <v>1414</v>
      </c>
      <c r="Q564" s="191" t="s">
        <v>1521</v>
      </c>
      <c r="R564" s="390" t="s">
        <v>4230</v>
      </c>
    </row>
    <row r="565" spans="2:18">
      <c r="B565" s="240" t="str">
        <f t="shared" si="23"/>
        <v>czarna</v>
      </c>
      <c r="M565" s="191" t="s">
        <v>1045</v>
      </c>
      <c r="N565" s="191" t="s">
        <v>1330</v>
      </c>
      <c r="O565" s="191" t="s">
        <v>1441</v>
      </c>
      <c r="P565" s="191" t="s">
        <v>1332</v>
      </c>
      <c r="Q565" s="191" t="s">
        <v>1522</v>
      </c>
      <c r="R565" s="390" t="s">
        <v>4231</v>
      </c>
    </row>
    <row r="566" spans="2:18">
      <c r="B566" s="240" t="str">
        <f t="shared" si="23"/>
        <v>Kolejne</v>
      </c>
      <c r="M566" s="191" t="s">
        <v>1340</v>
      </c>
      <c r="N566" s="191" t="s">
        <v>1341</v>
      </c>
      <c r="O566" s="191" t="s">
        <v>1442</v>
      </c>
      <c r="P566" s="191" t="s">
        <v>1342</v>
      </c>
      <c r="Q566" s="191" t="s">
        <v>1523</v>
      </c>
      <c r="R566" s="390" t="s">
        <v>4232</v>
      </c>
    </row>
    <row r="567" spans="2:18">
      <c r="B567" s="240" t="str">
        <f t="shared" si="23"/>
        <v>Podsumowanie</v>
      </c>
      <c r="M567" s="191" t="s">
        <v>1219</v>
      </c>
      <c r="N567" s="191" t="s">
        <v>1345</v>
      </c>
      <c r="O567" s="191" t="s">
        <v>1343</v>
      </c>
      <c r="P567" s="191" t="s">
        <v>1344</v>
      </c>
      <c r="Q567" s="191" t="s">
        <v>1524</v>
      </c>
      <c r="R567" s="390" t="s">
        <v>4233</v>
      </c>
    </row>
    <row r="568" spans="2:18">
      <c r="B568" s="240">
        <f t="shared" ref="B568:B570" si="24">IF($D$1=1,M568,IF($D$1=2,N568,IF($D$1=3,O568,IF($D$1=4,P568,IF($D$1=5,Q568,0)))))</f>
        <v>0</v>
      </c>
    </row>
    <row r="569" spans="2:18">
      <c r="B569" s="240">
        <f t="shared" si="24"/>
        <v>0</v>
      </c>
    </row>
    <row r="570" spans="2:18">
      <c r="B570" s="240">
        <f t="shared" si="24"/>
        <v>0</v>
      </c>
    </row>
    <row r="571" spans="2:18">
      <c r="B571" s="240" t="str">
        <f t="shared" ref="B571:B634" si="25">IF($D$1=1,M571,IF($D$1=2,N571,IF($D$1=3,O571,IF($D$1=4,P571,IF($D$1=5,Q571,IF($D$1=6,R571,0))))))</f>
        <v>Widok szpros ma charakter poglądowy i nie pokazuje wybranej liczby szpros.</v>
      </c>
      <c r="M571" s="191" t="s">
        <v>3205</v>
      </c>
      <c r="N571" s="191" t="s">
        <v>3207</v>
      </c>
      <c r="O571" s="191" t="s">
        <v>3206</v>
      </c>
      <c r="P571" s="191" t="s">
        <v>3208</v>
      </c>
      <c r="Q571" s="191" t="s">
        <v>1697</v>
      </c>
      <c r="R571" s="390" t="s">
        <v>4430</v>
      </c>
    </row>
    <row r="572" spans="2:18">
      <c r="B572" s="240" t="str">
        <f t="shared" si="25"/>
        <v>Ważne informacje:</v>
      </c>
      <c r="M572" s="191" t="s">
        <v>3734</v>
      </c>
      <c r="N572" s="191" t="s">
        <v>3733</v>
      </c>
      <c r="O572" s="191" t="s">
        <v>3732</v>
      </c>
      <c r="P572" s="191" t="s">
        <v>3735</v>
      </c>
      <c r="Q572" s="191" t="s">
        <v>3736</v>
      </c>
      <c r="R572" s="390" t="s">
        <v>4431</v>
      </c>
    </row>
    <row r="573" spans="2:18">
      <c r="B573" s="240" t="str">
        <f t="shared" si="25"/>
        <v>Nie zmieniaj po wybraniu rodzaj szkła/siatka</v>
      </c>
      <c r="M573" s="191" t="s">
        <v>4499</v>
      </c>
      <c r="N573" s="191" t="s">
        <v>4500</v>
      </c>
      <c r="O573" s="191" t="s">
        <v>4501</v>
      </c>
      <c r="P573" s="191" t="s">
        <v>4502</v>
      </c>
      <c r="Q573" s="191" t="s">
        <v>4503</v>
      </c>
      <c r="R573" s="390" t="s">
        <v>4504</v>
      </c>
    </row>
    <row r="574" spans="2:18">
      <c r="B574" s="240" t="str">
        <f t="shared" si="25"/>
        <v>Powrót</v>
      </c>
      <c r="M574" s="191" t="s">
        <v>1443</v>
      </c>
      <c r="N574" s="191" t="s">
        <v>1446</v>
      </c>
      <c r="O574" s="191" t="s">
        <v>1445</v>
      </c>
      <c r="P574" s="191" t="s">
        <v>1444</v>
      </c>
      <c r="Q574" s="191" t="s">
        <v>1525</v>
      </c>
      <c r="R574" s="390" t="s">
        <v>4432</v>
      </c>
    </row>
    <row r="575" spans="2:18">
      <c r="B575" s="240" t="str">
        <f t="shared" si="25"/>
        <v>Standardowa odległość zawiasów od krawędzi wynosi 100 mm (minimum 80 mm). Jeżeli konieczna jest zmiana rozstawu między poszczególnymi zawiasami, prosimy podać w notatce (w mm).</v>
      </c>
      <c r="M575" s="191" t="s">
        <v>1448</v>
      </c>
      <c r="N575" s="191" t="s">
        <v>1449</v>
      </c>
      <c r="O575" s="191" t="s">
        <v>1450</v>
      </c>
      <c r="P575" s="191" t="s">
        <v>2201</v>
      </c>
      <c r="Q575" s="191" t="s">
        <v>1698</v>
      </c>
      <c r="R575" s="390" t="s">
        <v>4433</v>
      </c>
    </row>
    <row r="576" spans="2:18" ht="150">
      <c r="B576" s="240" t="str">
        <f t="shared" si="25"/>
        <v>„W zielonych komórkach wpisz odległość wiercenia uchwytu od zewnętrznej krawędzi ramki.
Jeśli chcesz przewiercić uchwyt w środku ościeżnicy i na środku profilu, w zielonych polach wpisz „x”.</v>
      </c>
      <c r="M576" s="261" t="s">
        <v>1733</v>
      </c>
      <c r="N576" s="261" t="s">
        <v>2062</v>
      </c>
      <c r="O576" s="261" t="s">
        <v>3731</v>
      </c>
      <c r="P576" s="261" t="s">
        <v>2200</v>
      </c>
      <c r="Q576" s="261" t="s">
        <v>1734</v>
      </c>
      <c r="R576" s="395" t="s">
        <v>4434</v>
      </c>
    </row>
    <row r="577" spans="2:18">
      <c r="B577" s="240" t="str">
        <f t="shared" si="25"/>
        <v>W przypadku zawiasów maksymalny zalecany rozmiar to 600mm</v>
      </c>
      <c r="M577" s="191" t="s">
        <v>3700</v>
      </c>
      <c r="N577" s="191" t="s">
        <v>3701</v>
      </c>
      <c r="O577" s="191" t="s">
        <v>3702</v>
      </c>
      <c r="P577" s="191" t="s">
        <v>3703</v>
      </c>
      <c r="Q577" s="191" t="s">
        <v>3704</v>
      </c>
      <c r="R577" s="390" t="s">
        <v>4435</v>
      </c>
    </row>
    <row r="578" spans="2:18">
      <c r="B578" s="240" t="str">
        <f t="shared" si="25"/>
        <v>Varna czarna - producent zaleca długość max. 1200 mm</v>
      </c>
      <c r="M578" s="191" t="s">
        <v>1546</v>
      </c>
      <c r="N578" s="191" t="s">
        <v>1547</v>
      </c>
      <c r="O578" s="191" t="s">
        <v>1548</v>
      </c>
      <c r="P578" s="191" t="s">
        <v>1549</v>
      </c>
      <c r="Q578" s="191" t="s">
        <v>1550</v>
      </c>
      <c r="R578" s="390" t="s">
        <v>4436</v>
      </c>
    </row>
    <row r="579" spans="2:18">
      <c r="B579" s="240" t="str">
        <f t="shared" si="25"/>
        <v>Varna czarna - producent zaleca długość max. 1200 mm</v>
      </c>
      <c r="M579" s="191" t="s">
        <v>1546</v>
      </c>
      <c r="N579" s="191" t="s">
        <v>1551</v>
      </c>
      <c r="O579" s="191" t="s">
        <v>1548</v>
      </c>
      <c r="P579" s="191" t="s">
        <v>1549</v>
      </c>
      <c r="Q579" s="191" t="s">
        <v>1550</v>
      </c>
      <c r="R579" s="390" t="s">
        <v>4436</v>
      </c>
    </row>
    <row r="580" spans="2:18" ht="67.900000000000006" customHeight="1">
      <c r="B580" s="240" t="str">
        <f t="shared" si="25"/>
        <v>Rocca czarny - długość max. 2150 mm
Varna czarna - długość max. 1200 mm</v>
      </c>
      <c r="M580" s="261" t="s">
        <v>3200</v>
      </c>
      <c r="N580" s="261" t="s">
        <v>3201</v>
      </c>
      <c r="O580" s="261" t="s">
        <v>3202</v>
      </c>
      <c r="P580" s="261" t="s">
        <v>3203</v>
      </c>
      <c r="Q580" s="261" t="s">
        <v>3204</v>
      </c>
      <c r="R580" s="396" t="s">
        <v>4437</v>
      </c>
    </row>
    <row r="581" spans="2:18">
      <c r="B581" s="240" t="str">
        <f t="shared" si="25"/>
        <v>Zamówienie szkła</v>
      </c>
      <c r="M581" s="191" t="s">
        <v>1552</v>
      </c>
      <c r="N581" s="191" t="s">
        <v>1552</v>
      </c>
      <c r="O581" s="191" t="s">
        <v>1553</v>
      </c>
      <c r="P581" s="191" t="s">
        <v>1554</v>
      </c>
      <c r="Q581" s="191" t="s">
        <v>1555</v>
      </c>
      <c r="R581" s="390" t="s">
        <v>4438</v>
      </c>
    </row>
    <row r="582" spans="2:18">
      <c r="B582" s="240" t="str">
        <f t="shared" si="25"/>
        <v>ze sprężyną z tłumieniem</v>
      </c>
      <c r="M582" s="191" t="s">
        <v>2217</v>
      </c>
      <c r="N582" s="191" t="s">
        <v>2220</v>
      </c>
      <c r="O582" s="191" t="s">
        <v>2223</v>
      </c>
      <c r="P582" s="191" t="s">
        <v>2226</v>
      </c>
      <c r="Q582" s="191" t="s">
        <v>2229</v>
      </c>
      <c r="R582" s="390" t="s">
        <v>4439</v>
      </c>
    </row>
    <row r="583" spans="2:18">
      <c r="B583" s="240" t="str">
        <f t="shared" si="25"/>
        <v>ze sprężyną bez tłumienia</v>
      </c>
      <c r="M583" s="191" t="s">
        <v>2218</v>
      </c>
      <c r="N583" s="191" t="s">
        <v>2221</v>
      </c>
      <c r="O583" s="191" t="s">
        <v>2224</v>
      </c>
      <c r="P583" s="191" t="s">
        <v>2227</v>
      </c>
      <c r="Q583" s="191" t="s">
        <v>2230</v>
      </c>
      <c r="R583" s="390" t="s">
        <v>4440</v>
      </c>
    </row>
    <row r="584" spans="2:18">
      <c r="B584" s="240" t="str">
        <f t="shared" si="25"/>
        <v>tip-on bez sprężyny/tłumienie</v>
      </c>
      <c r="M584" s="191" t="s">
        <v>2219</v>
      </c>
      <c r="N584" s="191" t="s">
        <v>2222</v>
      </c>
      <c r="O584" s="191" t="s">
        <v>2225</v>
      </c>
      <c r="P584" s="191" t="s">
        <v>2228</v>
      </c>
      <c r="Q584" s="191" t="s">
        <v>2231</v>
      </c>
      <c r="R584" s="390" t="s">
        <v>4441</v>
      </c>
    </row>
    <row r="585" spans="2:18">
      <c r="B585" s="240" t="str">
        <f t="shared" si="25"/>
        <v>srebro</v>
      </c>
      <c r="M585" s="191" t="s">
        <v>1198</v>
      </c>
      <c r="N585" s="191" t="s">
        <v>1721</v>
      </c>
      <c r="O585" s="191" t="s">
        <v>1722</v>
      </c>
      <c r="P585" s="191" t="s">
        <v>1717</v>
      </c>
      <c r="Q585" s="191" t="s">
        <v>1719</v>
      </c>
      <c r="R585" s="390" t="s">
        <v>4442</v>
      </c>
    </row>
    <row r="586" spans="2:18">
      <c r="B586" s="240" t="str">
        <f t="shared" si="25"/>
        <v>czarny</v>
      </c>
      <c r="M586" s="191" t="s">
        <v>1200</v>
      </c>
      <c r="N586" s="191" t="s">
        <v>1330</v>
      </c>
      <c r="O586" s="191" t="s">
        <v>1723</v>
      </c>
      <c r="P586" s="191" t="s">
        <v>1718</v>
      </c>
      <c r="Q586" s="191" t="s">
        <v>1720</v>
      </c>
      <c r="R586" s="390" t="s">
        <v>4443</v>
      </c>
    </row>
    <row r="587" spans="2:18">
      <c r="B587" s="240" t="str">
        <f t="shared" si="25"/>
        <v>W przypadku zastosowania ze szkłem maksymalny zalecany wymiar to 1500 x 600 mm</v>
      </c>
      <c r="M587" s="191" t="s">
        <v>1737</v>
      </c>
      <c r="N587" s="191" t="s">
        <v>1740</v>
      </c>
      <c r="O587" s="191" t="s">
        <v>1738</v>
      </c>
      <c r="P587" s="191" t="s">
        <v>1739</v>
      </c>
      <c r="Q587" s="191" t="s">
        <v>1736</v>
      </c>
      <c r="R587" s="390" t="s">
        <v>4234</v>
      </c>
    </row>
    <row r="588" spans="2:18">
      <c r="B588" s="191" t="s">
        <v>2061</v>
      </c>
      <c r="R588" s="390"/>
    </row>
    <row r="589" spans="2:18">
      <c r="B589" s="240" t="str">
        <f t="shared" si="25"/>
        <v>(dolnej)</v>
      </c>
      <c r="M589" t="s">
        <v>3345</v>
      </c>
      <c r="N589" s="191" t="s">
        <v>2063</v>
      </c>
      <c r="O589" s="191" t="s">
        <v>2075</v>
      </c>
      <c r="P589" s="191" t="s">
        <v>2067</v>
      </c>
      <c r="Q589" s="191" t="s">
        <v>2071</v>
      </c>
      <c r="R589" t="s">
        <v>4235</v>
      </c>
    </row>
    <row r="590" spans="2:18">
      <c r="B590" s="240" t="str">
        <f t="shared" si="25"/>
        <v>(lewej)</v>
      </c>
      <c r="M590" t="s">
        <v>3346</v>
      </c>
      <c r="N590" s="191" t="s">
        <v>2064</v>
      </c>
      <c r="O590" s="191" t="s">
        <v>2076</v>
      </c>
      <c r="P590" s="191" t="s">
        <v>2068</v>
      </c>
      <c r="Q590" s="191" t="s">
        <v>2072</v>
      </c>
      <c r="R590" t="s">
        <v>4236</v>
      </c>
    </row>
    <row r="591" spans="2:18">
      <c r="B591" s="240" t="str">
        <f t="shared" si="25"/>
        <v>(górnej)</v>
      </c>
      <c r="M591" t="s">
        <v>3347</v>
      </c>
      <c r="N591" s="191" t="s">
        <v>2065</v>
      </c>
      <c r="O591" s="191" t="s">
        <v>2077</v>
      </c>
      <c r="P591" s="191" t="s">
        <v>2069</v>
      </c>
      <c r="Q591" s="191" t="s">
        <v>2073</v>
      </c>
      <c r="R591" t="s">
        <v>4237</v>
      </c>
    </row>
    <row r="592" spans="2:18">
      <c r="B592" s="240" t="str">
        <f t="shared" si="25"/>
        <v>(prawej)</v>
      </c>
      <c r="M592" t="s">
        <v>2066</v>
      </c>
      <c r="N592" s="191" t="s">
        <v>2066</v>
      </c>
      <c r="O592" s="191" t="s">
        <v>2078</v>
      </c>
      <c r="P592" s="191" t="s">
        <v>2070</v>
      </c>
      <c r="Q592" s="191" t="s">
        <v>2074</v>
      </c>
      <c r="R592" t="s">
        <v>4238</v>
      </c>
    </row>
    <row r="593" spans="2:18">
      <c r="B593" s="240" t="str">
        <f t="shared" si="25"/>
        <v>275672- autom. 30N szary</v>
      </c>
      <c r="M593" s="191" t="s">
        <v>2080</v>
      </c>
      <c r="N593" s="191" t="s">
        <v>2081</v>
      </c>
      <c r="O593" s="191" t="s">
        <v>2082</v>
      </c>
      <c r="P593" s="191" t="s">
        <v>2083</v>
      </c>
      <c r="Q593" s="191" t="s">
        <v>2084</v>
      </c>
      <c r="R593" t="s">
        <v>4239</v>
      </c>
    </row>
    <row r="594" spans="2:18">
      <c r="B594" s="240" t="str">
        <f t="shared" si="25"/>
        <v>275673- autom. 60N szary</v>
      </c>
      <c r="M594" s="191" t="s">
        <v>2085</v>
      </c>
      <c r="N594" s="191" t="s">
        <v>2086</v>
      </c>
      <c r="O594" s="191" t="s">
        <v>2087</v>
      </c>
      <c r="P594" s="191" t="s">
        <v>2088</v>
      </c>
      <c r="Q594" s="191" t="s">
        <v>2089</v>
      </c>
      <c r="R594" t="s">
        <v>4240</v>
      </c>
    </row>
    <row r="595" spans="2:18">
      <c r="B595" s="240" t="str">
        <f t="shared" si="25"/>
        <v>275674- autom. 80N szary</v>
      </c>
      <c r="M595" s="191" t="s">
        <v>2090</v>
      </c>
      <c r="N595" s="191" t="s">
        <v>2091</v>
      </c>
      <c r="O595" s="191" t="s">
        <v>2092</v>
      </c>
      <c r="P595" s="191" t="s">
        <v>2093</v>
      </c>
      <c r="Q595" s="191" t="s">
        <v>2094</v>
      </c>
      <c r="R595" t="s">
        <v>4241</v>
      </c>
    </row>
    <row r="596" spans="2:18">
      <c r="B596" s="240" t="str">
        <f t="shared" si="25"/>
        <v>275675- autom. 100N szary</v>
      </c>
      <c r="M596" s="191" t="s">
        <v>2095</v>
      </c>
      <c r="N596" s="191" t="s">
        <v>2096</v>
      </c>
      <c r="O596" s="191" t="s">
        <v>2097</v>
      </c>
      <c r="P596" s="191" t="s">
        <v>2098</v>
      </c>
      <c r="Q596" s="191" t="s">
        <v>2099</v>
      </c>
      <c r="R596" t="s">
        <v>4242</v>
      </c>
    </row>
    <row r="597" spans="2:18">
      <c r="B597" s="240" t="str">
        <f t="shared" si="25"/>
        <v>275676- autom. 120N szary</v>
      </c>
      <c r="M597" s="191" t="s">
        <v>2100</v>
      </c>
      <c r="N597" s="191" t="s">
        <v>2101</v>
      </c>
      <c r="O597" s="191" t="s">
        <v>2102</v>
      </c>
      <c r="P597" s="191" t="s">
        <v>2103</v>
      </c>
      <c r="Q597" s="191" t="s">
        <v>2104</v>
      </c>
      <c r="R597" t="s">
        <v>4243</v>
      </c>
    </row>
    <row r="598" spans="2:18">
      <c r="B598" s="262" t="s">
        <v>2079</v>
      </c>
      <c r="R598"/>
    </row>
    <row r="599" spans="2:18">
      <c r="B599" s="240" t="str">
        <f t="shared" si="25"/>
        <v>248162- autom. 30N biały</v>
      </c>
      <c r="M599" s="191" t="s">
        <v>2105</v>
      </c>
      <c r="N599" s="191" t="s">
        <v>2106</v>
      </c>
      <c r="O599" s="191" t="s">
        <v>2107</v>
      </c>
      <c r="P599" s="191" t="s">
        <v>2108</v>
      </c>
      <c r="Q599" s="191" t="s">
        <v>2109</v>
      </c>
      <c r="R599" t="s">
        <v>4244</v>
      </c>
    </row>
    <row r="600" spans="2:18">
      <c r="B600" s="240" t="str">
        <f t="shared" si="25"/>
        <v>248163- autom. 60N biały</v>
      </c>
      <c r="M600" s="191" t="s">
        <v>2110</v>
      </c>
      <c r="N600" s="191" t="s">
        <v>2111</v>
      </c>
      <c r="O600" s="191" t="s">
        <v>2112</v>
      </c>
      <c r="P600" s="191" t="s">
        <v>2113</v>
      </c>
      <c r="Q600" s="191" t="s">
        <v>2114</v>
      </c>
      <c r="R600" t="s">
        <v>4245</v>
      </c>
    </row>
    <row r="601" spans="2:18">
      <c r="B601" s="240" t="str">
        <f t="shared" si="25"/>
        <v>248164- autom. 80N biały</v>
      </c>
      <c r="M601" s="191" t="s">
        <v>2115</v>
      </c>
      <c r="N601" s="191" t="s">
        <v>2116</v>
      </c>
      <c r="O601" s="191" t="s">
        <v>2117</v>
      </c>
      <c r="P601" s="191" t="s">
        <v>2118</v>
      </c>
      <c r="Q601" s="191" t="s">
        <v>2119</v>
      </c>
      <c r="R601" t="s">
        <v>4246</v>
      </c>
    </row>
    <row r="602" spans="2:18">
      <c r="B602" s="240" t="str">
        <f t="shared" si="25"/>
        <v>248165- autom. 100N biały</v>
      </c>
      <c r="M602" s="191" t="s">
        <v>2120</v>
      </c>
      <c r="N602" s="191" t="s">
        <v>2121</v>
      </c>
      <c r="O602" s="191" t="s">
        <v>2122</v>
      </c>
      <c r="P602" s="191" t="s">
        <v>2123</v>
      </c>
      <c r="Q602" s="191" t="s">
        <v>2124</v>
      </c>
      <c r="R602" t="s">
        <v>4247</v>
      </c>
    </row>
    <row r="603" spans="2:18">
      <c r="B603" s="240" t="str">
        <f t="shared" si="25"/>
        <v>248166- autom. 120N biały</v>
      </c>
      <c r="M603" s="191" t="s">
        <v>2125</v>
      </c>
      <c r="N603" s="191" t="s">
        <v>2126</v>
      </c>
      <c r="O603" s="191" t="s">
        <v>2127</v>
      </c>
      <c r="P603" s="191" t="s">
        <v>2128</v>
      </c>
      <c r="Q603" s="191" t="s">
        <v>2129</v>
      </c>
      <c r="R603" t="s">
        <v>4248</v>
      </c>
    </row>
    <row r="604" spans="2:18">
      <c r="B604" s="240" t="str">
        <f t="shared" si="25"/>
        <v>284250 pozycj.60N szary</v>
      </c>
      <c r="M604" s="191" t="s">
        <v>2130</v>
      </c>
      <c r="N604" s="191" t="s">
        <v>2131</v>
      </c>
      <c r="O604" s="191" t="s">
        <v>2132</v>
      </c>
      <c r="P604" s="191" t="s">
        <v>2133</v>
      </c>
      <c r="Q604" s="191" t="s">
        <v>2134</v>
      </c>
      <c r="R604" t="s">
        <v>4249</v>
      </c>
    </row>
    <row r="605" spans="2:18">
      <c r="B605" s="262" t="s">
        <v>2079</v>
      </c>
      <c r="R605"/>
    </row>
    <row r="606" spans="2:18">
      <c r="B606" s="240" t="str">
        <f t="shared" si="25"/>
        <v>284251-pozycj. 80N szary</v>
      </c>
      <c r="M606" s="191" t="s">
        <v>2135</v>
      </c>
      <c r="N606" s="191" t="s">
        <v>2136</v>
      </c>
      <c r="O606" s="191" t="s">
        <v>2137</v>
      </c>
      <c r="P606" s="191" t="s">
        <v>2138</v>
      </c>
      <c r="Q606" s="191" t="s">
        <v>2139</v>
      </c>
      <c r="R606" t="s">
        <v>4250</v>
      </c>
    </row>
    <row r="607" spans="2:18">
      <c r="B607" s="240" t="str">
        <f t="shared" si="25"/>
        <v>284252-pozycj. 100N szary</v>
      </c>
      <c r="M607" s="191" t="s">
        <v>2140</v>
      </c>
      <c r="N607" s="191" t="s">
        <v>2141</v>
      </c>
      <c r="O607" s="191" t="s">
        <v>2142</v>
      </c>
      <c r="P607" s="191" t="s">
        <v>2143</v>
      </c>
      <c r="Q607" s="191" t="s">
        <v>2144</v>
      </c>
      <c r="R607" t="s">
        <v>4251</v>
      </c>
    </row>
    <row r="608" spans="2:18">
      <c r="B608" s="240" t="str">
        <f t="shared" si="25"/>
        <v>284253-pozycj. 120N szary</v>
      </c>
      <c r="M608" s="191" t="s">
        <v>2145</v>
      </c>
      <c r="N608" s="191" t="s">
        <v>2146</v>
      </c>
      <c r="O608" s="191" t="s">
        <v>2147</v>
      </c>
      <c r="P608" s="191" t="s">
        <v>2148</v>
      </c>
      <c r="Q608" s="191" t="s">
        <v>2149</v>
      </c>
      <c r="R608" t="s">
        <v>4252</v>
      </c>
    </row>
    <row r="609" spans="2:18">
      <c r="B609" s="240" t="str">
        <f t="shared" si="25"/>
        <v>284254-pozycj. 60N biały</v>
      </c>
      <c r="M609" s="191" t="s">
        <v>2150</v>
      </c>
      <c r="N609" s="191" t="s">
        <v>2151</v>
      </c>
      <c r="O609" s="191" t="s">
        <v>2152</v>
      </c>
      <c r="P609" s="191" t="s">
        <v>2153</v>
      </c>
      <c r="Q609" s="191" t="s">
        <v>2154</v>
      </c>
      <c r="R609" t="s">
        <v>4253</v>
      </c>
    </row>
    <row r="610" spans="2:18">
      <c r="B610" s="240" t="str">
        <f t="shared" si="25"/>
        <v>284255-pozycj. 80N biały</v>
      </c>
      <c r="M610" s="191" t="s">
        <v>2155</v>
      </c>
      <c r="N610" s="191" t="s">
        <v>2156</v>
      </c>
      <c r="O610" s="191" t="s">
        <v>2157</v>
      </c>
      <c r="P610" s="191" t="s">
        <v>2158</v>
      </c>
      <c r="Q610" s="191" t="s">
        <v>2159</v>
      </c>
      <c r="R610" t="s">
        <v>4254</v>
      </c>
    </row>
    <row r="611" spans="2:18">
      <c r="B611" s="240" t="str">
        <f t="shared" si="25"/>
        <v>284256-pozycj. 100N biały</v>
      </c>
      <c r="M611" s="191" t="s">
        <v>2160</v>
      </c>
      <c r="N611" s="191" t="s">
        <v>2161</v>
      </c>
      <c r="O611" s="191" t="s">
        <v>2162</v>
      </c>
      <c r="P611" s="191" t="s">
        <v>2163</v>
      </c>
      <c r="Q611" s="191" t="s">
        <v>2164</v>
      </c>
      <c r="R611" t="s">
        <v>4255</v>
      </c>
    </row>
    <row r="612" spans="2:18">
      <c r="B612" s="240" t="str">
        <f t="shared" si="25"/>
        <v>284257-pozycj. 120N biały</v>
      </c>
      <c r="M612" s="191" t="s">
        <v>2165</v>
      </c>
      <c r="N612" s="191" t="s">
        <v>2166</v>
      </c>
      <c r="O612" s="191" t="s">
        <v>2167</v>
      </c>
      <c r="P612" s="191" t="s">
        <v>2168</v>
      </c>
      <c r="Q612" s="191" t="s">
        <v>2169</v>
      </c>
      <c r="R612" t="s">
        <v>4256</v>
      </c>
    </row>
    <row r="613" spans="2:18">
      <c r="B613" s="262" t="s">
        <v>2079</v>
      </c>
      <c r="R613" s="390"/>
    </row>
    <row r="614" spans="2:18">
      <c r="B614" s="240" t="str">
        <f t="shared" si="25"/>
        <v>275689-barkowy 80N szary</v>
      </c>
      <c r="M614" s="191" t="s">
        <v>3427</v>
      </c>
      <c r="N614" s="191" t="s">
        <v>2170</v>
      </c>
      <c r="O614" s="191" t="s">
        <v>2171</v>
      </c>
      <c r="P614" s="191" t="s">
        <v>2172</v>
      </c>
      <c r="Q614" s="191" t="s">
        <v>2173</v>
      </c>
      <c r="R614" s="390" t="s">
        <v>4444</v>
      </c>
    </row>
    <row r="615" spans="2:18">
      <c r="B615" s="240" t="str">
        <f t="shared" si="25"/>
        <v>248167-barkowy 80N biały</v>
      </c>
      <c r="M615" s="191" t="s">
        <v>3428</v>
      </c>
      <c r="N615" s="191" t="s">
        <v>2174</v>
      </c>
      <c r="O615" s="191" t="s">
        <v>2175</v>
      </c>
      <c r="P615" s="191" t="s">
        <v>2176</v>
      </c>
      <c r="Q615" s="191" t="s">
        <v>2177</v>
      </c>
      <c r="R615" s="390" t="s">
        <v>4445</v>
      </c>
    </row>
    <row r="616" spans="2:18">
      <c r="B616" s="240" t="str">
        <f t="shared" si="25"/>
        <v>507355-22L3200-wysokość szafki=300 – 339 mm</v>
      </c>
      <c r="M616" s="191" t="s">
        <v>2424</v>
      </c>
      <c r="N616" s="191" t="s">
        <v>2428</v>
      </c>
      <c r="O616" s="191" t="s">
        <v>2432</v>
      </c>
      <c r="P616" s="191" t="s">
        <v>2436</v>
      </c>
      <c r="Q616" s="191" t="s">
        <v>2440</v>
      </c>
      <c r="R616" s="390" t="s">
        <v>4446</v>
      </c>
    </row>
    <row r="617" spans="2:18">
      <c r="B617" s="240" t="str">
        <f t="shared" si="25"/>
        <v>507356-22L3500-wysokość szafki=340 – 389 mm</v>
      </c>
      <c r="M617" s="191" t="s">
        <v>2425</v>
      </c>
      <c r="N617" s="191" t="s">
        <v>2429</v>
      </c>
      <c r="O617" s="191" t="s">
        <v>2433</v>
      </c>
      <c r="P617" s="191" t="s">
        <v>2437</v>
      </c>
      <c r="Q617" s="191" t="s">
        <v>2441</v>
      </c>
      <c r="R617" s="390" t="s">
        <v>4447</v>
      </c>
    </row>
    <row r="618" spans="2:18">
      <c r="B618" s="240" t="str">
        <f t="shared" si="25"/>
        <v>507357-22L3800-wysokość szafki=390 – 540 mm</v>
      </c>
      <c r="M618" s="191" t="s">
        <v>2426</v>
      </c>
      <c r="N618" s="191" t="s">
        <v>2430</v>
      </c>
      <c r="O618" s="191" t="s">
        <v>2434</v>
      </c>
      <c r="P618" s="191" t="s">
        <v>2438</v>
      </c>
      <c r="Q618" s="191" t="s">
        <v>2442</v>
      </c>
      <c r="R618" s="390" t="s">
        <v>4448</v>
      </c>
    </row>
    <row r="619" spans="2:18">
      <c r="B619" s="240" t="str">
        <f t="shared" si="25"/>
        <v>507358-22L3900-wysokość szafki=480 – 580 mm</v>
      </c>
      <c r="M619" s="191" t="s">
        <v>2427</v>
      </c>
      <c r="N619" s="191" t="s">
        <v>2431</v>
      </c>
      <c r="O619" s="191" t="s">
        <v>2435</v>
      </c>
      <c r="P619" s="191" t="s">
        <v>2439</v>
      </c>
      <c r="Q619" s="191" t="s">
        <v>2443</v>
      </c>
      <c r="R619" s="390" t="s">
        <v>4449</v>
      </c>
    </row>
    <row r="620" spans="2:18">
      <c r="B620" s="240" t="str">
        <f t="shared" si="25"/>
        <v>Servo:</v>
      </c>
      <c r="M620" s="191" t="s">
        <v>2178</v>
      </c>
      <c r="N620" s="191" t="s">
        <v>2178</v>
      </c>
      <c r="O620" s="191" t="s">
        <v>2178</v>
      </c>
      <c r="P620" s="191" t="s">
        <v>2178</v>
      </c>
      <c r="Q620" s="191" t="s">
        <v>2178</v>
      </c>
      <c r="R620" s="390" t="s">
        <v>4450</v>
      </c>
    </row>
    <row r="621" spans="2:18">
      <c r="B621" s="240" t="str">
        <f t="shared" si="25"/>
        <v>197612-21L3200.01-wysokość szafy=300 – 349 mm</v>
      </c>
      <c r="M621" s="191" t="s">
        <v>2179</v>
      </c>
      <c r="N621" s="191" t="s">
        <v>2180</v>
      </c>
      <c r="O621" s="191" t="s">
        <v>2181</v>
      </c>
      <c r="P621" s="191" t="s">
        <v>2182</v>
      </c>
      <c r="Q621" s="191" t="s">
        <v>2183</v>
      </c>
      <c r="R621" s="390" t="s">
        <v>4451</v>
      </c>
    </row>
    <row r="622" spans="2:18">
      <c r="B622" s="240" t="str">
        <f t="shared" si="25"/>
        <v>197613-21L3500.01-wysokość szafy=350 – 399 mm</v>
      </c>
      <c r="M622" s="191" t="s">
        <v>2184</v>
      </c>
      <c r="N622" s="191" t="s">
        <v>2185</v>
      </c>
      <c r="O622" s="191" t="s">
        <v>2186</v>
      </c>
      <c r="P622" s="191" t="s">
        <v>2187</v>
      </c>
      <c r="Q622" s="191" t="s">
        <v>2188</v>
      </c>
      <c r="R622" s="390" t="s">
        <v>4452</v>
      </c>
    </row>
    <row r="623" spans="2:18">
      <c r="B623" s="240" t="str">
        <f t="shared" si="25"/>
        <v>197614-21L3800.01-wysokość szafy=400 – 550 mm</v>
      </c>
      <c r="M623" s="191" t="s">
        <v>2189</v>
      </c>
      <c r="N623" s="191" t="s">
        <v>2190</v>
      </c>
      <c r="O623" s="191" t="s">
        <v>2191</v>
      </c>
      <c r="P623" s="191" t="s">
        <v>2192</v>
      </c>
      <c r="Q623" s="191" t="s">
        <v>2193</v>
      </c>
      <c r="R623" s="390" t="s">
        <v>4453</v>
      </c>
    </row>
    <row r="624" spans="2:18">
      <c r="B624" s="240" t="str">
        <f t="shared" si="25"/>
        <v>197615-21L3900.01-wysokość szafy=450 – 580 mm</v>
      </c>
      <c r="M624" s="191" t="s">
        <v>2194</v>
      </c>
      <c r="N624" s="191" t="s">
        <v>2195</v>
      </c>
      <c r="O624" s="191" t="s">
        <v>2196</v>
      </c>
      <c r="P624" s="191" t="s">
        <v>2197</v>
      </c>
      <c r="Q624" s="191" t="s">
        <v>2198</v>
      </c>
      <c r="R624" s="390" t="s">
        <v>4454</v>
      </c>
    </row>
    <row r="625" spans="2:18">
      <c r="B625" s="240" t="str">
        <f t="shared" si="25"/>
        <v>Rodzaj szkła/siatka</v>
      </c>
      <c r="M625" s="233" t="s">
        <v>2418</v>
      </c>
      <c r="N625" s="191" t="s">
        <v>2419</v>
      </c>
      <c r="O625" s="191" t="s">
        <v>2420</v>
      </c>
      <c r="P625" s="191" t="s">
        <v>2421</v>
      </c>
      <c r="Q625" s="191" t="s">
        <v>2422</v>
      </c>
      <c r="R625" s="390" t="s">
        <v>4400</v>
      </c>
    </row>
    <row r="626" spans="2:18" ht="75">
      <c r="B626" s="240" t="str">
        <f t="shared" si="25"/>
        <v>W zielonych komórkach określ odległość wiercenia rączki od zewnętrznej krawędzi ramy.</v>
      </c>
      <c r="M626" s="261" t="s">
        <v>2212</v>
      </c>
      <c r="N626" s="261" t="s">
        <v>2213</v>
      </c>
      <c r="O626" s="261" t="s">
        <v>2214</v>
      </c>
      <c r="P626" s="261" t="s">
        <v>2215</v>
      </c>
      <c r="Q626" s="261" t="s">
        <v>2216</v>
      </c>
      <c r="R626" s="395" t="s">
        <v>4455</v>
      </c>
    </row>
    <row r="627" spans="2:18">
      <c r="B627" s="240" t="str">
        <f t="shared" si="25"/>
        <v>Nieprawidłowa kombinacja</v>
      </c>
      <c r="M627" s="191" t="s">
        <v>2232</v>
      </c>
      <c r="N627" s="191" t="s">
        <v>2236</v>
      </c>
      <c r="O627" s="191" t="s">
        <v>2235</v>
      </c>
      <c r="P627" s="191" t="s">
        <v>2234</v>
      </c>
      <c r="Q627" s="191" t="s">
        <v>2233</v>
      </c>
      <c r="R627" s="390" t="s">
        <v>4456</v>
      </c>
    </row>
    <row r="628" spans="2:18">
      <c r="B628" s="240" t="str">
        <f t="shared" si="25"/>
        <v>krzyżakowy, wkręt</v>
      </c>
      <c r="M628" s="233" t="s">
        <v>2244</v>
      </c>
      <c r="N628" s="233" t="s">
        <v>2250</v>
      </c>
      <c r="O628" s="191" t="s">
        <v>2251</v>
      </c>
      <c r="P628" s="191" t="s">
        <v>2252</v>
      </c>
      <c r="Q628" s="191" t="s">
        <v>2253</v>
      </c>
      <c r="R628" s="390" t="s">
        <v>4457</v>
      </c>
    </row>
    <row r="629" spans="2:18">
      <c r="B629" s="240" t="str">
        <f t="shared" si="25"/>
        <v>na wkręt (z mimośrodem)</v>
      </c>
      <c r="M629" s="233" t="s">
        <v>2242</v>
      </c>
      <c r="N629" s="233" t="s">
        <v>2254</v>
      </c>
      <c r="O629" s="191" t="s">
        <v>2255</v>
      </c>
      <c r="P629" s="191" t="s">
        <v>2256</v>
      </c>
      <c r="Q629" s="191" t="s">
        <v>2257</v>
      </c>
      <c r="R629" s="390" t="s">
        <v>4458</v>
      </c>
    </row>
    <row r="630" spans="2:18">
      <c r="B630" s="240" t="str">
        <f t="shared" si="25"/>
        <v>krzyżakowy eurowkręt</v>
      </c>
      <c r="M630" s="233" t="s">
        <v>2245</v>
      </c>
      <c r="N630" s="233" t="s">
        <v>2258</v>
      </c>
      <c r="O630" s="191" t="s">
        <v>2273</v>
      </c>
      <c r="P630" s="191" t="s">
        <v>2259</v>
      </c>
      <c r="Q630" s="191" t="s">
        <v>2260</v>
      </c>
      <c r="R630" s="390" t="s">
        <v>4459</v>
      </c>
    </row>
    <row r="631" spans="2:18">
      <c r="B631" s="240" t="str">
        <f t="shared" si="25"/>
        <v>krzyżakowy expando</v>
      </c>
      <c r="M631" s="233" t="s">
        <v>2246</v>
      </c>
      <c r="N631" s="233" t="s">
        <v>2261</v>
      </c>
      <c r="O631" s="191" t="s">
        <v>2274</v>
      </c>
      <c r="P631" s="191" t="s">
        <v>2262</v>
      </c>
      <c r="Q631" s="191" t="s">
        <v>2262</v>
      </c>
      <c r="R631" s="390" t="s">
        <v>4460</v>
      </c>
    </row>
    <row r="632" spans="2:18">
      <c r="B632" s="240" t="str">
        <f t="shared" si="25"/>
        <v>prosty wkręt</v>
      </c>
      <c r="M632" s="233" t="s">
        <v>2247</v>
      </c>
      <c r="N632" s="233" t="s">
        <v>2263</v>
      </c>
      <c r="O632" s="191" t="s">
        <v>2264</v>
      </c>
      <c r="P632" s="191" t="s">
        <v>2266</v>
      </c>
      <c r="Q632" s="191" t="s">
        <v>2265</v>
      </c>
      <c r="R632" s="390" t="s">
        <v>4461</v>
      </c>
    </row>
    <row r="633" spans="2:18">
      <c r="B633" s="240" t="str">
        <f t="shared" si="25"/>
        <v>prosty eurowkręt</v>
      </c>
      <c r="M633" s="233" t="s">
        <v>2248</v>
      </c>
      <c r="N633" s="233" t="s">
        <v>2248</v>
      </c>
      <c r="O633" s="191" t="s">
        <v>2269</v>
      </c>
      <c r="P633" s="191" t="s">
        <v>2267</v>
      </c>
      <c r="Q633" s="191" t="s">
        <v>2268</v>
      </c>
      <c r="R633" s="390" t="s">
        <v>4462</v>
      </c>
    </row>
    <row r="634" spans="2:18">
      <c r="B634" s="240" t="str">
        <f t="shared" si="25"/>
        <v>prosty expando</v>
      </c>
      <c r="M634" s="233" t="s">
        <v>2249</v>
      </c>
      <c r="N634" s="233" t="s">
        <v>2249</v>
      </c>
      <c r="O634" s="191" t="s">
        <v>2270</v>
      </c>
      <c r="P634" s="191" t="s">
        <v>2271</v>
      </c>
      <c r="Q634" s="191" t="s">
        <v>2272</v>
      </c>
      <c r="R634" s="390" t="s">
        <v>4463</v>
      </c>
    </row>
    <row r="635" spans="2:18">
      <c r="B635" s="240" t="str">
        <f t="shared" ref="B635:B651" si="26">IF($D$1=1,M635,IF($D$1=2,N635,IF($D$1=3,O635,IF($D$1=4,P635,IF($D$1=5,Q635,IF($D$1=6,R635,0))))))</f>
        <v>długość max. 2150 mm</v>
      </c>
      <c r="M635" s="191" t="s">
        <v>2288</v>
      </c>
      <c r="N635" s="191" t="s">
        <v>2289</v>
      </c>
      <c r="O635" s="191" t="s">
        <v>2290</v>
      </c>
      <c r="P635" s="191" t="s">
        <v>2392</v>
      </c>
      <c r="Q635" s="191" t="s">
        <v>2291</v>
      </c>
      <c r="R635" s="390" t="s">
        <v>4464</v>
      </c>
    </row>
    <row r="636" spans="2:18">
      <c r="B636" s="240" t="str">
        <f t="shared" si="26"/>
        <v>Odległość od dolnej krawędzi</v>
      </c>
      <c r="M636" s="233" t="s">
        <v>3425</v>
      </c>
      <c r="N636" s="191" t="s">
        <v>2307</v>
      </c>
      <c r="O636" s="191" t="s">
        <v>2305</v>
      </c>
      <c r="P636" s="191" t="s">
        <v>2309</v>
      </c>
      <c r="Q636" s="191" t="s">
        <v>2303</v>
      </c>
      <c r="R636" s="390" t="s">
        <v>4465</v>
      </c>
    </row>
    <row r="637" spans="2:18">
      <c r="B637" s="240" t="str">
        <f t="shared" si="26"/>
        <v>Odległość od górnej krawędzi</v>
      </c>
      <c r="M637" s="233" t="s">
        <v>3426</v>
      </c>
      <c r="N637" s="191" t="s">
        <v>2308</v>
      </c>
      <c r="O637" s="191" t="s">
        <v>2306</v>
      </c>
      <c r="P637" s="191" t="s">
        <v>2310</v>
      </c>
      <c r="Q637" s="191" t="s">
        <v>2304</v>
      </c>
      <c r="R637" s="390" t="s">
        <v>4466</v>
      </c>
    </row>
    <row r="638" spans="2:18">
      <c r="B638" s="240" t="str">
        <f t="shared" si="26"/>
        <v>Bez modyfikacji</v>
      </c>
      <c r="M638" s="191" t="s">
        <v>1248</v>
      </c>
      <c r="N638" s="191" t="s">
        <v>1248</v>
      </c>
      <c r="O638" s="191" t="s">
        <v>1249</v>
      </c>
      <c r="P638" s="191" t="s">
        <v>1247</v>
      </c>
      <c r="Q638" s="191" t="s">
        <v>1559</v>
      </c>
      <c r="R638" s="390" t="s">
        <v>4467</v>
      </c>
    </row>
    <row r="639" spans="2:18">
      <c r="B639" s="240" t="str">
        <f t="shared" si="26"/>
        <v>Hartowane (termin dostawy 4 tygodnie)</v>
      </c>
      <c r="M639" s="191" t="s">
        <v>3322</v>
      </c>
      <c r="N639" s="191" t="s">
        <v>3323</v>
      </c>
      <c r="O639" s="191" t="s">
        <v>3324</v>
      </c>
      <c r="P639" s="191" t="s">
        <v>3325</v>
      </c>
      <c r="Q639" s="191" t="s">
        <v>3326</v>
      </c>
      <c r="R639" s="390" t="s">
        <v>4468</v>
      </c>
    </row>
    <row r="640" spans="2:18">
      <c r="B640" s="240" t="str">
        <f t="shared" si="26"/>
        <v>Folia</v>
      </c>
      <c r="M640" s="191" t="s">
        <v>1019</v>
      </c>
      <c r="N640" s="191" t="s">
        <v>1019</v>
      </c>
      <c r="O640" s="191" t="s">
        <v>1250</v>
      </c>
      <c r="P640" s="191" t="s">
        <v>1251</v>
      </c>
      <c r="Q640" s="191" t="s">
        <v>1558</v>
      </c>
      <c r="R640" s="390" t="s">
        <v>4265</v>
      </c>
    </row>
    <row r="641" spans="2:18" ht="97.5">
      <c r="B641" s="240" t="str">
        <f t="shared" si="26"/>
        <v xml:space="preserve">Ramki aluminiowe bez szkła dostarczane są w stanie rozmontowanym. </v>
      </c>
      <c r="M641" s="263" t="s">
        <v>2385</v>
      </c>
      <c r="N641" s="263" t="s">
        <v>2384</v>
      </c>
      <c r="O641" s="263" t="s">
        <v>2386</v>
      </c>
      <c r="P641" s="269" t="s">
        <v>2387</v>
      </c>
      <c r="Q641" s="291" t="s">
        <v>2456</v>
      </c>
      <c r="R641" s="390" t="s">
        <v>4469</v>
      </c>
    </row>
    <row r="642" spans="2:18" ht="74.25" customHeight="1">
      <c r="B642" s="240" t="str">
        <f t="shared" si="26"/>
        <v>Maksym. zalecany rozmiar to 1500 x 600 mm. Przy zamówieniu większego rozmiaru szyba może wysunąć się z profilu. Producent nie odpowiada za tego typu reklamacje.</v>
      </c>
      <c r="M642" s="261" t="s">
        <v>2393</v>
      </c>
      <c r="N642" s="277" t="s">
        <v>2395</v>
      </c>
      <c r="O642" s="261" t="s">
        <v>2396</v>
      </c>
      <c r="P642" s="276" t="s">
        <v>2394</v>
      </c>
      <c r="Q642" s="261" t="s">
        <v>2397</v>
      </c>
      <c r="R642" s="395" t="s">
        <v>4470</v>
      </c>
    </row>
    <row r="643" spans="2:18">
      <c r="B643" s="240">
        <f t="shared" si="26"/>
        <v>0</v>
      </c>
      <c r="R643" s="390"/>
    </row>
    <row r="644" spans="2:18">
      <c r="B644" s="240" t="str">
        <f t="shared" si="26"/>
        <v>520405 SALICE AIR SOFT zawiasy niklowe o kącie otwarcia 92° kpl. 2 szt</v>
      </c>
      <c r="M644" s="75" t="s">
        <v>2712</v>
      </c>
      <c r="N644" s="75" t="s">
        <v>2712</v>
      </c>
      <c r="O644" s="75" t="s">
        <v>2713</v>
      </c>
      <c r="P644" t="s">
        <v>2714</v>
      </c>
      <c r="R644" t="s">
        <v>4471</v>
      </c>
    </row>
    <row r="645" spans="2:18">
      <c r="B645" s="240" t="str">
        <f t="shared" si="26"/>
        <v>520406 SALICE AIR PUSH TO OPEN zawiasy niklowe z zestawem adapterów 2 szt</v>
      </c>
      <c r="M645" s="75" t="s">
        <v>2715</v>
      </c>
      <c r="N645" s="75" t="s">
        <v>2715</v>
      </c>
      <c r="O645" s="75" t="s">
        <v>2716</v>
      </c>
      <c r="P645" t="s">
        <v>2717</v>
      </c>
      <c r="R645" t="s">
        <v>4472</v>
      </c>
    </row>
    <row r="646" spans="2:18">
      <c r="B646" s="240" t="str">
        <f t="shared" si="26"/>
        <v>520407 SALICE AIR PUSH TO OPEN zawiasy niklowe z zestawem adapterów 2 szt</v>
      </c>
      <c r="M646" s="75" t="s">
        <v>2718</v>
      </c>
      <c r="N646" s="75" t="s">
        <v>2718</v>
      </c>
      <c r="O646" s="75" t="s">
        <v>2719</v>
      </c>
      <c r="P646" t="s">
        <v>2717</v>
      </c>
      <c r="R646" t="s">
        <v>4473</v>
      </c>
    </row>
    <row r="647" spans="2:18">
      <c r="B647" s="240" t="str">
        <f t="shared" si="26"/>
        <v>520408 SALICE AIR SOFT zawiasy niklowe z zestawem adapterów 2 szt</v>
      </c>
      <c r="M647" s="75" t="s">
        <v>2720</v>
      </c>
      <c r="N647" s="75" t="s">
        <v>2720</v>
      </c>
      <c r="O647" s="75" t="s">
        <v>2721</v>
      </c>
      <c r="P647" t="s">
        <v>2722</v>
      </c>
      <c r="R647" t="s">
        <v>4474</v>
      </c>
    </row>
    <row r="648" spans="2:18">
      <c r="B648" s="240" t="str">
        <f t="shared" si="26"/>
        <v>520410 SALICE AIR SOFT TITANIUM  zawiasy o kącie otwarcia 92° kpl. 2 szt</v>
      </c>
      <c r="M648" s="75" t="s">
        <v>2723</v>
      </c>
      <c r="N648" s="75" t="s">
        <v>2723</v>
      </c>
      <c r="O648" s="75" t="s">
        <v>2724</v>
      </c>
      <c r="P648" t="s">
        <v>2725</v>
      </c>
      <c r="R648" t="s">
        <v>4475</v>
      </c>
    </row>
    <row r="649" spans="2:18">
      <c r="B649" s="240" t="str">
        <f t="shared" si="26"/>
        <v>520411 SALICE AIR TITANIUM PUSH TO OPEN zawiasy komplet 2 szt</v>
      </c>
      <c r="M649" s="75" t="s">
        <v>2726</v>
      </c>
      <c r="N649" s="75" t="s">
        <v>2726</v>
      </c>
      <c r="O649" s="75" t="s">
        <v>2727</v>
      </c>
      <c r="P649" t="s">
        <v>2728</v>
      </c>
      <c r="R649" t="s">
        <v>4476</v>
      </c>
    </row>
    <row r="650" spans="2:18">
      <c r="B650" s="240" t="str">
        <f t="shared" si="26"/>
        <v>520412 SALICE AIR TITANIUM PUSH TO OPEN zawiasy z zestawem adapterów 2 szt</v>
      </c>
      <c r="M650" s="75" t="s">
        <v>2729</v>
      </c>
      <c r="N650" s="75" t="s">
        <v>2729</v>
      </c>
      <c r="O650" s="75" t="s">
        <v>2730</v>
      </c>
      <c r="P650" t="s">
        <v>2731</v>
      </c>
      <c r="R650" t="s">
        <v>4477</v>
      </c>
    </row>
    <row r="651" spans="2:18">
      <c r="B651" s="240" t="str">
        <f t="shared" si="26"/>
        <v>520413 SALICE AIR SOFT TITANIUM zawiasy z zestawem adapterów 2 szt</v>
      </c>
      <c r="M651" t="s">
        <v>2732</v>
      </c>
      <c r="N651" t="s">
        <v>2732</v>
      </c>
      <c r="O651" t="s">
        <v>2733</v>
      </c>
      <c r="P651" t="s">
        <v>2734</v>
      </c>
      <c r="R651" t="s">
        <v>4478</v>
      </c>
    </row>
    <row r="652" spans="2:18">
      <c r="R652" s="390"/>
    </row>
    <row r="653" spans="2:18">
      <c r="B653" s="240" t="str">
        <f t="shared" ref="B653:B654" si="27">IF($D$1=1,M653,IF($D$1=2,N653,IF($D$1=3,O653,IF($D$1=4,P653,IF($D$1=5,Q653,IF($D$1=6,R653,0))))))</f>
        <v>Wypełnienie z siatki</v>
      </c>
      <c r="M653" s="191" t="s">
        <v>2400</v>
      </c>
      <c r="N653" s="191" t="s">
        <v>2520</v>
      </c>
      <c r="O653" s="191" t="s">
        <v>2651</v>
      </c>
      <c r="P653" s="287" t="s">
        <v>4505</v>
      </c>
      <c r="Q653" s="191" t="s">
        <v>4506</v>
      </c>
      <c r="R653" t="s">
        <v>4507</v>
      </c>
    </row>
    <row r="654" spans="2:18">
      <c r="B654" s="240" t="str">
        <f t="shared" si="27"/>
        <v>maks. wymiar 1000x500mm</v>
      </c>
      <c r="M654" s="191" t="s">
        <v>2404</v>
      </c>
      <c r="N654" s="191" t="s">
        <v>2405</v>
      </c>
      <c r="O654" s="191" t="s">
        <v>2406</v>
      </c>
      <c r="P654" s="191" t="s">
        <v>2407</v>
      </c>
      <c r="Q654" s="191" t="s">
        <v>2408</v>
      </c>
      <c r="R654" t="s">
        <v>4479</v>
      </c>
    </row>
    <row r="655" spans="2:18">
      <c r="B655" s="240"/>
      <c r="R655" s="390"/>
    </row>
    <row r="656" spans="2:18">
      <c r="B656" s="240" t="str">
        <f t="shared" ref="B656:B671" si="28">IF($D$1=1,M656,IF($D$1=2,N656,IF($D$1=3,O656,IF($D$1=4,P656,IF($D$1=5,Q656,IF($D$1=6,R656,0))))))</f>
        <v>Rodzaj siatky</v>
      </c>
      <c r="M656" s="191" t="s">
        <v>2409</v>
      </c>
      <c r="N656" s="191" t="s">
        <v>2410</v>
      </c>
      <c r="O656" s="191" t="s">
        <v>2411</v>
      </c>
      <c r="P656" s="191" t="s">
        <v>2412</v>
      </c>
      <c r="Q656" s="191" t="s">
        <v>2413</v>
      </c>
      <c r="R656" t="s">
        <v>4480</v>
      </c>
    </row>
    <row r="657" spans="2:18">
      <c r="B657" s="240" t="str">
        <f t="shared" si="28"/>
        <v xml:space="preserve">Nie istnieje wariant półnakładany i wpuszczany </v>
      </c>
      <c r="M657" s="191" t="s">
        <v>2507</v>
      </c>
      <c r="N657" s="191" t="s">
        <v>2507</v>
      </c>
      <c r="O657" s="191" t="s">
        <v>2508</v>
      </c>
      <c r="P657" s="191" t="s">
        <v>2509</v>
      </c>
      <c r="Q657" s="191" t="s">
        <v>2510</v>
      </c>
      <c r="R657" t="s">
        <v>4481</v>
      </c>
    </row>
    <row r="658" spans="2:18">
      <c r="B658" s="240" t="str">
        <f t="shared" si="28"/>
        <v>Szlifowanie krawędzi</v>
      </c>
      <c r="M658" s="191" t="s">
        <v>1556</v>
      </c>
      <c r="N658" s="191" t="s">
        <v>2521</v>
      </c>
      <c r="O658" s="191" t="s">
        <v>2522</v>
      </c>
      <c r="P658" s="191" t="s">
        <v>2524</v>
      </c>
      <c r="Q658" s="191" t="s">
        <v>2523</v>
      </c>
      <c r="R658" t="s">
        <v>4482</v>
      </c>
    </row>
    <row r="659" spans="2:18">
      <c r="B659" s="240" t="str">
        <f t="shared" si="28"/>
        <v>StrongLift_gorny</v>
      </c>
      <c r="M659" t="s">
        <v>2642</v>
      </c>
      <c r="N659" t="s">
        <v>2653</v>
      </c>
      <c r="O659" t="s">
        <v>2652</v>
      </c>
      <c r="P659" t="s">
        <v>2655</v>
      </c>
      <c r="Q659" t="s">
        <v>2656</v>
      </c>
      <c r="R659" t="s">
        <v>4361</v>
      </c>
    </row>
    <row r="660" spans="2:18">
      <c r="B660" s="240" t="str">
        <f t="shared" si="28"/>
        <v>StrongLift_dolny</v>
      </c>
      <c r="M660" t="s">
        <v>2643</v>
      </c>
      <c r="N660" t="s">
        <v>2654</v>
      </c>
      <c r="O660" t="s">
        <v>2657</v>
      </c>
      <c r="P660" t="s">
        <v>2658</v>
      </c>
      <c r="Q660" t="s">
        <v>2659</v>
      </c>
      <c r="R660" t="s">
        <v>4362</v>
      </c>
    </row>
    <row r="661" spans="2:18">
      <c r="B661" s="240" t="str">
        <f t="shared" si="28"/>
        <v>zawias do korpusu</v>
      </c>
      <c r="M661" s="191" t="s">
        <v>2660</v>
      </c>
      <c r="N661" s="191" t="s">
        <v>2661</v>
      </c>
      <c r="O661" s="191" t="s">
        <v>2662</v>
      </c>
      <c r="P661" s="191" t="s">
        <v>2672</v>
      </c>
      <c r="Q661" s="191" t="s">
        <v>2663</v>
      </c>
      <c r="R661" t="s">
        <v>4335</v>
      </c>
    </row>
    <row r="662" spans="2:18">
      <c r="B662" s="240" t="str">
        <f t="shared" si="28"/>
        <v>z tłumieniem</v>
      </c>
      <c r="M662" t="s">
        <v>1159</v>
      </c>
      <c r="N662" t="s">
        <v>2664</v>
      </c>
      <c r="O662" s="191" t="s">
        <v>2665</v>
      </c>
      <c r="P662" s="191" t="s">
        <v>3705</v>
      </c>
      <c r="Q662" t="s">
        <v>2666</v>
      </c>
      <c r="R662" t="s">
        <v>4334</v>
      </c>
    </row>
    <row r="663" spans="2:18">
      <c r="B663" s="240" t="str">
        <f t="shared" si="28"/>
        <v>gorny</v>
      </c>
      <c r="M663" s="233" t="s">
        <v>3149</v>
      </c>
      <c r="N663" s="233" t="s">
        <v>3150</v>
      </c>
      <c r="O663" s="191" t="s">
        <v>2667</v>
      </c>
      <c r="P663" t="s">
        <v>2669</v>
      </c>
      <c r="Q663" s="191" t="s">
        <v>2671</v>
      </c>
      <c r="R663" t="s">
        <v>4374</v>
      </c>
    </row>
    <row r="664" spans="2:18">
      <c r="B664" s="240" t="str">
        <f t="shared" si="28"/>
        <v>dolny</v>
      </c>
      <c r="M664" t="s">
        <v>427</v>
      </c>
      <c r="N664" t="s">
        <v>3151</v>
      </c>
      <c r="O664" t="s">
        <v>2668</v>
      </c>
      <c r="P664" t="s">
        <v>2670</v>
      </c>
      <c r="Q664" t="s">
        <v>1488</v>
      </c>
      <c r="R664" t="s">
        <v>4336</v>
      </c>
    </row>
    <row r="665" spans="2:18">
      <c r="B665" s="240" t="str">
        <f t="shared" si="28"/>
        <v>Wąska ALU ramka</v>
      </c>
      <c r="M665" s="233" t="s">
        <v>458</v>
      </c>
      <c r="N665" s="191" t="s">
        <v>2673</v>
      </c>
      <c r="O665" s="191" t="s">
        <v>253</v>
      </c>
      <c r="P665" s="191" t="s">
        <v>315</v>
      </c>
      <c r="Q665" s="191" t="s">
        <v>1476</v>
      </c>
      <c r="R665" t="s">
        <v>4337</v>
      </c>
    </row>
    <row r="666" spans="2:18">
      <c r="B666" s="240" t="str">
        <f t="shared" si="28"/>
        <v>Szeroka ALU ramka</v>
      </c>
      <c r="M666" s="233" t="s">
        <v>457</v>
      </c>
      <c r="N666" s="191" t="s">
        <v>457</v>
      </c>
      <c r="O666" s="191" t="s">
        <v>254</v>
      </c>
      <c r="P666" s="191" t="s">
        <v>316</v>
      </c>
      <c r="Q666" s="191" t="s">
        <v>1477</v>
      </c>
      <c r="R666" t="s">
        <v>4338</v>
      </c>
    </row>
    <row r="667" spans="2:18">
      <c r="R667"/>
    </row>
    <row r="668" spans="2:18">
      <c r="B668" s="240" t="str">
        <f t="shared" si="28"/>
        <v>Przekroczono maksymalny wymiar szkła</v>
      </c>
      <c r="M668" s="191" t="s">
        <v>2696</v>
      </c>
      <c r="N668" s="191" t="s">
        <v>2697</v>
      </c>
      <c r="O668" s="191" t="s">
        <v>2698</v>
      </c>
      <c r="P668" s="191" t="s">
        <v>2700</v>
      </c>
      <c r="Q668" s="191" t="s">
        <v>2699</v>
      </c>
      <c r="R668" t="s">
        <v>4483</v>
      </c>
    </row>
    <row r="669" spans="2:18">
      <c r="B669" s="240" t="str">
        <f t="shared" si="28"/>
        <v>przezroczystość 50%</v>
      </c>
      <c r="M669" s="191" t="s">
        <v>3174</v>
      </c>
      <c r="N669" s="191" t="s">
        <v>3176</v>
      </c>
      <c r="O669" s="191" t="s">
        <v>3178</v>
      </c>
      <c r="P669" s="191" t="s">
        <v>3180</v>
      </c>
      <c r="Q669" s="191" t="s">
        <v>3182</v>
      </c>
      <c r="R669" t="s">
        <v>4484</v>
      </c>
    </row>
    <row r="670" spans="2:18">
      <c r="B670" s="240" t="str">
        <f t="shared" si="28"/>
        <v>przezroczystość 67%</v>
      </c>
      <c r="M670" s="191" t="s">
        <v>3175</v>
      </c>
      <c r="N670" s="191" t="s">
        <v>3177</v>
      </c>
      <c r="O670" s="191" t="s">
        <v>3179</v>
      </c>
      <c r="P670" s="191" t="s">
        <v>3181</v>
      </c>
      <c r="Q670" s="191" t="s">
        <v>3183</v>
      </c>
      <c r="R670" t="s">
        <v>4266</v>
      </c>
    </row>
    <row r="671" spans="2:18">
      <c r="B671" s="240" t="str">
        <f t="shared" si="28"/>
        <v>Przy odbiorze przesyłki kupujący powinien sprawdzić towar i w przypadku stwierdzenia widocznych uszkodzeń transportowych niezwłocznie zgłosić je kurierowi, spisując protokół. W przeciwnym razie reklamacja może zostać odrzucona.</v>
      </c>
      <c r="M671" s="191" t="s">
        <v>4649</v>
      </c>
      <c r="N671" s="191" t="s">
        <v>4650</v>
      </c>
      <c r="O671" s="191" t="s">
        <v>4652</v>
      </c>
      <c r="P671" s="191" t="s">
        <v>4651</v>
      </c>
      <c r="Q671" s="191" t="s">
        <v>4653</v>
      </c>
      <c r="R671" s="191" t="s">
        <v>4654</v>
      </c>
    </row>
    <row r="680" spans="2:18">
      <c r="B680" s="240" t="str">
        <f t="shared" ref="B680:B694" si="29">IF($D$1=1,M680,IF($D$1=2,N680,IF($D$1=3,O680,IF($D$1=4,P680,IF($D$1=5,Q680,IF($D$1=6,R680,0))))))</f>
        <v>Warunki i zalecenia dotyczące prawidłowego zamawiania ramek aluminiowych.</v>
      </c>
      <c r="M680" s="1" t="s">
        <v>2737</v>
      </c>
      <c r="N680" t="s">
        <v>2738</v>
      </c>
      <c r="O680" t="s">
        <v>3724</v>
      </c>
      <c r="P680" t="s">
        <v>2739</v>
      </c>
      <c r="Q680" s="191" t="s">
        <v>2740</v>
      </c>
      <c r="R680" t="s">
        <v>4485</v>
      </c>
    </row>
    <row r="681" spans="2:18">
      <c r="B681" s="240" t="str">
        <f t="shared" si="29"/>
        <v>Ogólne zalecenia:</v>
      </c>
      <c r="M681" s="1" t="s">
        <v>2741</v>
      </c>
      <c r="N681" t="s">
        <v>2742</v>
      </c>
      <c r="O681" t="s">
        <v>2781</v>
      </c>
      <c r="P681" t="s">
        <v>2743</v>
      </c>
      <c r="Q681" s="191" t="s">
        <v>2744</v>
      </c>
      <c r="R681" t="s">
        <v>4486</v>
      </c>
    </row>
    <row r="682" spans="2:18">
      <c r="B682" s="240" t="str">
        <f t="shared" si="29"/>
        <v>Podczas wypełniania formularza wypełniaj zawsze od góry do dołu.</v>
      </c>
      <c r="M682" s="1" t="s">
        <v>2745</v>
      </c>
      <c r="N682" t="s">
        <v>2746</v>
      </c>
      <c r="O682" t="s">
        <v>3726</v>
      </c>
      <c r="P682" t="s">
        <v>2747</v>
      </c>
      <c r="Q682" s="191" t="s">
        <v>2748</v>
      </c>
      <c r="R682" t="s">
        <v>4487</v>
      </c>
    </row>
    <row r="683" spans="2:18">
      <c r="B683" s="240" t="str">
        <f t="shared" si="29"/>
        <v>Jeśli dokonasz zmiany wstecz, konieczne będzie ponowne wpisanie danych poniżej zmiany.</v>
      </c>
      <c r="M683" s="1" t="s">
        <v>2749</v>
      </c>
      <c r="N683" t="s">
        <v>2750</v>
      </c>
      <c r="O683" t="s">
        <v>3727</v>
      </c>
      <c r="P683" t="s">
        <v>2751</v>
      </c>
      <c r="Q683" s="191" t="s">
        <v>2752</v>
      </c>
      <c r="R683" t="s">
        <v>4488</v>
      </c>
    </row>
    <row r="684" spans="2:18">
      <c r="B684" s="240" t="str">
        <f t="shared" si="29"/>
        <v>Przed wysłaniem zamówienia sprawdź formularz, czy są wpisane tylko te ramki, które chcesz zamówić.</v>
      </c>
      <c r="M684" s="1" t="s">
        <v>2753</v>
      </c>
      <c r="N684" t="s">
        <v>2754</v>
      </c>
      <c r="O684" t="s">
        <v>3728</v>
      </c>
      <c r="P684" t="s">
        <v>2755</v>
      </c>
      <c r="Q684" s="191" t="s">
        <v>2756</v>
      </c>
      <c r="R684" t="s">
        <v>4489</v>
      </c>
    </row>
    <row r="685" spans="2:18">
      <c r="B685" s="240" t="str">
        <f t="shared" si="29"/>
        <v>Standardowy czas realizacji zamówienia wynosi maksymalnie trzy tygodnie. Aby uzyskać dokładniejsze informacje na temat terminu dostawy, prosimy o kontakt z pracownikami Biura Obsługi Klienta tel. 32 790 85 82.</v>
      </c>
      <c r="M685" s="1" t="s">
        <v>2757</v>
      </c>
      <c r="N685" t="s">
        <v>2758</v>
      </c>
      <c r="O685" t="s">
        <v>3737</v>
      </c>
      <c r="P685" t="s">
        <v>2759</v>
      </c>
      <c r="Q685" s="191" t="s">
        <v>2760</v>
      </c>
      <c r="R685" t="s">
        <v>4490</v>
      </c>
    </row>
    <row r="686" spans="2:18">
      <c r="B686" s="240" t="str">
        <f t="shared" si="29"/>
        <v>Praktyczne informacje:</v>
      </c>
      <c r="M686" s="1" t="s">
        <v>2761</v>
      </c>
      <c r="N686" t="s">
        <v>2762</v>
      </c>
      <c r="O686" t="s">
        <v>2782</v>
      </c>
      <c r="P686" t="s">
        <v>2763</v>
      </c>
      <c r="Q686" s="191" t="s">
        <v>2764</v>
      </c>
      <c r="R686" t="s">
        <v>4491</v>
      </c>
    </row>
    <row r="687" spans="2:18">
      <c r="B687" s="240" t="str">
        <f t="shared" si="29"/>
        <v>Dla większych wymiarów ramki niż 2500 mm zalecamy użycie szprosów, w przeciwnym razie istnieje ryzyko wygięcia profilu lub wysunięcia szkła z profilu.</v>
      </c>
      <c r="M687" s="1" t="s">
        <v>2765</v>
      </c>
      <c r="N687" t="s">
        <v>2766</v>
      </c>
      <c r="O687" t="s">
        <v>2783</v>
      </c>
      <c r="P687" t="s">
        <v>2767</v>
      </c>
      <c r="Q687" s="191" t="s">
        <v>2768</v>
      </c>
      <c r="R687" t="s">
        <v>4492</v>
      </c>
    </row>
    <row r="688" spans="2:18">
      <c r="B688" s="240" t="str">
        <f t="shared" si="29"/>
        <v>Do ramek ponadwymiarowych (ponad wymiar 1200 x 800 mm) może zostać doliczona opłata za specjalne pakowanie i transport (więcej informacji u pracowników Obsługi Klienta).</v>
      </c>
      <c r="M688" s="1" t="s">
        <v>2769</v>
      </c>
      <c r="N688" t="s">
        <v>2770</v>
      </c>
      <c r="O688" t="s">
        <v>2784</v>
      </c>
      <c r="P688" t="s">
        <v>2771</v>
      </c>
      <c r="Q688" s="191" t="s">
        <v>2772</v>
      </c>
      <c r="R688" t="s">
        <v>4493</v>
      </c>
    </row>
    <row r="689" spans="2:18">
      <c r="B689" s="240" t="str">
        <f t="shared" si="29"/>
        <v>Siatka w ramce jest standardowo ustawiona poziomo. Jeśli otwory siatki mają być ustawione pionowo, prosimy o wskazanie tego w uwagach.</v>
      </c>
      <c r="M689" s="1" t="s">
        <v>2773</v>
      </c>
      <c r="N689" t="s">
        <v>2774</v>
      </c>
      <c r="O689" t="s">
        <v>2785</v>
      </c>
      <c r="P689" t="s">
        <v>2775</v>
      </c>
      <c r="Q689" s="191" t="s">
        <v>2776</v>
      </c>
      <c r="R689" t="s">
        <v>4494</v>
      </c>
    </row>
    <row r="690" spans="2:18">
      <c r="B690" s="240" t="str">
        <f t="shared" si="29"/>
        <v>Potwierdzam, że rozumiem i akceptuję powyższe warunki i zalecenia.</v>
      </c>
      <c r="M690" s="1" t="s">
        <v>2777</v>
      </c>
      <c r="N690" t="s">
        <v>2778</v>
      </c>
      <c r="O690" t="s">
        <v>2786</v>
      </c>
      <c r="P690" t="s">
        <v>2779</v>
      </c>
      <c r="Q690" s="191" t="s">
        <v>3907</v>
      </c>
      <c r="R690" t="s">
        <v>4495</v>
      </c>
    </row>
    <row r="691" spans="2:18" ht="23.45" customHeight="1">
      <c r="B691" s="240" t="str">
        <f t="shared" si="29"/>
        <v>Wybrany rozmiar ramki nie odpowiada maksymalnym wymiarom szkła lub profilu</v>
      </c>
      <c r="M691" s="261" t="s">
        <v>3434</v>
      </c>
      <c r="N691" s="191" t="s">
        <v>3437</v>
      </c>
      <c r="O691" s="191" t="s">
        <v>3435</v>
      </c>
      <c r="P691" s="191" t="s">
        <v>3438</v>
      </c>
      <c r="Q691" s="261" t="s">
        <v>3436</v>
      </c>
      <c r="R691" s="397" t="s">
        <v>4496</v>
      </c>
    </row>
    <row r="692" spans="2:18">
      <c r="B692" s="240" t="str">
        <f t="shared" si="29"/>
        <v>Suma</v>
      </c>
      <c r="M692" s="233" t="s">
        <v>1306</v>
      </c>
      <c r="N692" s="191" t="s">
        <v>1306</v>
      </c>
      <c r="O692" s="191" t="s">
        <v>261</v>
      </c>
      <c r="P692" s="191" t="s">
        <v>3432</v>
      </c>
      <c r="Q692" s="191" t="s">
        <v>3433</v>
      </c>
      <c r="R692" t="s">
        <v>4497</v>
      </c>
    </row>
    <row r="693" spans="2:18">
      <c r="B693" s="240" t="str">
        <f t="shared" si="29"/>
        <v>Cena okuć</v>
      </c>
      <c r="M693" s="191" t="s">
        <v>3752</v>
      </c>
      <c r="N693" s="191" t="s">
        <v>3753</v>
      </c>
      <c r="O693" s="191" t="s">
        <v>214</v>
      </c>
      <c r="P693" s="191" t="s">
        <v>3754</v>
      </c>
      <c r="Q693" s="191" t="s">
        <v>1563</v>
      </c>
      <c r="R693" t="s">
        <v>4498</v>
      </c>
    </row>
    <row r="694" spans="2:18">
      <c r="B694" s="240" t="str">
        <f t="shared" si="29"/>
        <v>Kolor profilu i siatki może się różnić z powodu tolerancji w procesie produkcji.</v>
      </c>
      <c r="M694" s="191" t="s">
        <v>3706</v>
      </c>
      <c r="N694" s="191" t="s">
        <v>3707</v>
      </c>
      <c r="O694" s="191" t="s">
        <v>3708</v>
      </c>
      <c r="P694" s="191" t="s">
        <v>3709</v>
      </c>
      <c r="Q694" s="191" t="s">
        <v>3710</v>
      </c>
      <c r="R694" s="390" t="s">
        <v>4397</v>
      </c>
    </row>
    <row r="695" spans="2:18">
      <c r="B695" s="191" t="str">
        <f>O695</f>
        <v>Koszt transportu musi zostać zweryfikowany</v>
      </c>
      <c r="O695" s="191" t="s">
        <v>3744</v>
      </c>
      <c r="R695"/>
    </row>
    <row r="698" spans="2:18">
      <c r="C698" s="191" t="s">
        <v>2512</v>
      </c>
    </row>
    <row r="699" spans="2:18">
      <c r="C699" s="191" t="s">
        <v>2424</v>
      </c>
      <c r="D699" s="191" t="s">
        <v>2788</v>
      </c>
    </row>
    <row r="700" spans="2:18">
      <c r="C700" s="191" t="s">
        <v>2425</v>
      </c>
      <c r="D700" s="191" t="s">
        <v>2789</v>
      </c>
    </row>
    <row r="701" spans="2:18">
      <c r="C701" s="191" t="s">
        <v>2426</v>
      </c>
      <c r="D701" s="191" t="s">
        <v>2791</v>
      </c>
    </row>
    <row r="702" spans="2:18">
      <c r="C702" s="191" t="s">
        <v>2427</v>
      </c>
      <c r="D702" s="191" t="s">
        <v>2790</v>
      </c>
    </row>
    <row r="703" spans="2:18">
      <c r="C703" s="191" t="s">
        <v>2428</v>
      </c>
      <c r="D703" s="191" t="s">
        <v>2788</v>
      </c>
    </row>
    <row r="704" spans="2:18">
      <c r="C704" s="191" t="s">
        <v>2429</v>
      </c>
      <c r="D704" s="191" t="s">
        <v>2789</v>
      </c>
    </row>
    <row r="705" spans="3:4">
      <c r="C705" s="191" t="s">
        <v>2430</v>
      </c>
      <c r="D705" s="191" t="s">
        <v>2791</v>
      </c>
    </row>
    <row r="706" spans="3:4">
      <c r="C706" s="191" t="s">
        <v>2431</v>
      </c>
      <c r="D706" s="191" t="s">
        <v>2790</v>
      </c>
    </row>
    <row r="707" spans="3:4">
      <c r="C707" s="191" t="s">
        <v>2432</v>
      </c>
      <c r="D707" s="191" t="s">
        <v>2788</v>
      </c>
    </row>
    <row r="708" spans="3:4">
      <c r="C708" s="191" t="s">
        <v>2433</v>
      </c>
      <c r="D708" s="191" t="s">
        <v>2789</v>
      </c>
    </row>
    <row r="709" spans="3:4">
      <c r="C709" s="191" t="s">
        <v>2434</v>
      </c>
      <c r="D709" s="191" t="s">
        <v>2791</v>
      </c>
    </row>
    <row r="710" spans="3:4">
      <c r="C710" s="191" t="s">
        <v>2435</v>
      </c>
      <c r="D710" s="191" t="s">
        <v>2790</v>
      </c>
    </row>
    <row r="711" spans="3:4">
      <c r="C711" s="191" t="s">
        <v>2436</v>
      </c>
      <c r="D711" s="191" t="s">
        <v>2788</v>
      </c>
    </row>
    <row r="712" spans="3:4">
      <c r="C712" s="191" t="s">
        <v>2437</v>
      </c>
      <c r="D712" s="191" t="s">
        <v>2789</v>
      </c>
    </row>
    <row r="713" spans="3:4">
      <c r="C713" s="191" t="s">
        <v>2438</v>
      </c>
      <c r="D713" s="191" t="s">
        <v>2791</v>
      </c>
    </row>
    <row r="714" spans="3:4">
      <c r="C714" s="191" t="s">
        <v>2439</v>
      </c>
      <c r="D714" s="191" t="s">
        <v>2790</v>
      </c>
    </row>
    <row r="715" spans="3:4">
      <c r="C715" s="191" t="s">
        <v>2440</v>
      </c>
      <c r="D715" s="191" t="s">
        <v>2788</v>
      </c>
    </row>
    <row r="716" spans="3:4">
      <c r="C716" s="191" t="s">
        <v>2441</v>
      </c>
      <c r="D716" s="191" t="s">
        <v>2789</v>
      </c>
    </row>
    <row r="717" spans="3:4">
      <c r="C717" s="191" t="s">
        <v>2442</v>
      </c>
      <c r="D717" s="191" t="s">
        <v>2791</v>
      </c>
    </row>
    <row r="718" spans="3:4">
      <c r="C718" s="191" t="s">
        <v>2443</v>
      </c>
      <c r="D718" s="191" t="s">
        <v>2790</v>
      </c>
    </row>
    <row r="719" spans="3:4">
      <c r="C719" s="191" t="s">
        <v>4257</v>
      </c>
      <c r="D719" s="191" t="s">
        <v>2788</v>
      </c>
    </row>
    <row r="720" spans="3:4">
      <c r="C720" s="191" t="s">
        <v>4258</v>
      </c>
      <c r="D720" s="191" t="s">
        <v>2789</v>
      </c>
    </row>
    <row r="721" spans="2:18">
      <c r="C721" s="191" t="s">
        <v>4259</v>
      </c>
      <c r="D721" s="191" t="s">
        <v>2791</v>
      </c>
    </row>
    <row r="722" spans="2:18">
      <c r="C722" s="191" t="s">
        <v>4260</v>
      </c>
      <c r="D722" s="191" t="s">
        <v>2790</v>
      </c>
    </row>
    <row r="723" spans="2:18">
      <c r="B723" s="240" t="str">
        <f t="shared" ref="B723" si="30">IF($D$1=1,M723,IF($D$1=2,N723,IF($D$1=3,O723,IF($D$1=4,P723,IF($D$1=5,Q723,IF($D$1=6,R723,0))))))</f>
        <v>Rabat</v>
      </c>
      <c r="C723" s="191" t="s">
        <v>2179</v>
      </c>
      <c r="D723" s="191" t="s">
        <v>2181</v>
      </c>
      <c r="M723" s="233" t="s">
        <v>3717</v>
      </c>
      <c r="N723" s="191" t="s">
        <v>3718</v>
      </c>
      <c r="O723" s="191" t="s">
        <v>3719</v>
      </c>
      <c r="P723" s="191" t="s">
        <v>3720</v>
      </c>
      <c r="Q723" s="191" t="s">
        <v>3721</v>
      </c>
      <c r="R723" s="191" t="s">
        <v>4267</v>
      </c>
    </row>
    <row r="724" spans="2:18">
      <c r="C724" s="191" t="s">
        <v>2184</v>
      </c>
      <c r="D724" s="191" t="s">
        <v>2186</v>
      </c>
    </row>
    <row r="725" spans="2:18">
      <c r="C725" s="191" t="s">
        <v>2189</v>
      </c>
      <c r="D725" s="191" t="s">
        <v>2191</v>
      </c>
    </row>
    <row r="726" spans="2:18">
      <c r="C726" s="191" t="s">
        <v>2194</v>
      </c>
      <c r="D726" s="191" t="s">
        <v>2196</v>
      </c>
    </row>
    <row r="727" spans="2:18">
      <c r="C727" s="191" t="s">
        <v>2180</v>
      </c>
      <c r="D727" s="191" t="s">
        <v>2181</v>
      </c>
    </row>
    <row r="728" spans="2:18">
      <c r="C728" s="191" t="s">
        <v>2185</v>
      </c>
      <c r="D728" s="191" t="s">
        <v>2186</v>
      </c>
    </row>
    <row r="729" spans="2:18">
      <c r="C729" s="191" t="s">
        <v>2190</v>
      </c>
      <c r="D729" s="191" t="s">
        <v>2191</v>
      </c>
    </row>
    <row r="730" spans="2:18">
      <c r="C730" s="191" t="s">
        <v>2195</v>
      </c>
      <c r="D730" s="191" t="s">
        <v>2196</v>
      </c>
    </row>
    <row r="731" spans="2:18">
      <c r="C731" s="191" t="s">
        <v>2181</v>
      </c>
      <c r="D731" s="191" t="s">
        <v>2181</v>
      </c>
    </row>
    <row r="732" spans="2:18">
      <c r="C732" s="191" t="s">
        <v>2186</v>
      </c>
      <c r="D732" s="191" t="s">
        <v>2186</v>
      </c>
    </row>
    <row r="733" spans="2:18">
      <c r="C733" s="191" t="s">
        <v>2191</v>
      </c>
      <c r="D733" s="191" t="s">
        <v>2191</v>
      </c>
    </row>
    <row r="734" spans="2:18">
      <c r="C734" s="191" t="s">
        <v>2196</v>
      </c>
      <c r="D734" s="191" t="s">
        <v>2196</v>
      </c>
    </row>
    <row r="735" spans="2:18">
      <c r="C735" s="191" t="s">
        <v>2182</v>
      </c>
      <c r="D735" s="191" t="s">
        <v>2181</v>
      </c>
    </row>
    <row r="736" spans="2:18">
      <c r="C736" s="191" t="s">
        <v>2187</v>
      </c>
      <c r="D736" s="191" t="s">
        <v>2186</v>
      </c>
    </row>
    <row r="737" spans="3:4">
      <c r="C737" s="191" t="s">
        <v>2192</v>
      </c>
      <c r="D737" s="191" t="s">
        <v>2191</v>
      </c>
    </row>
    <row r="738" spans="3:4">
      <c r="C738" s="191" t="s">
        <v>2197</v>
      </c>
      <c r="D738" s="191" t="s">
        <v>2196</v>
      </c>
    </row>
    <row r="739" spans="3:4">
      <c r="C739" s="191" t="s">
        <v>2183</v>
      </c>
      <c r="D739" s="191" t="s">
        <v>2181</v>
      </c>
    </row>
    <row r="740" spans="3:4">
      <c r="C740" s="191" t="s">
        <v>2188</v>
      </c>
      <c r="D740" s="191" t="s">
        <v>2186</v>
      </c>
    </row>
    <row r="741" spans="3:4">
      <c r="C741" s="191" t="s">
        <v>2193</v>
      </c>
      <c r="D741" s="191" t="s">
        <v>2191</v>
      </c>
    </row>
    <row r="742" spans="3:4">
      <c r="C742" s="191" t="s">
        <v>2198</v>
      </c>
      <c r="D742" s="191" t="s">
        <v>2196</v>
      </c>
    </row>
    <row r="743" spans="3:4">
      <c r="C743" s="390" t="s">
        <v>4261</v>
      </c>
      <c r="D743" s="191" t="s">
        <v>2181</v>
      </c>
    </row>
    <row r="744" spans="3:4">
      <c r="C744" s="390" t="s">
        <v>4262</v>
      </c>
      <c r="D744" s="191" t="s">
        <v>2186</v>
      </c>
    </row>
    <row r="745" spans="3:4">
      <c r="C745" s="390" t="s">
        <v>4263</v>
      </c>
      <c r="D745" s="191" t="s">
        <v>2191</v>
      </c>
    </row>
    <row r="746" spans="3:4">
      <c r="C746" s="390" t="s">
        <v>4264</v>
      </c>
      <c r="D746" s="191" t="s">
        <v>2196</v>
      </c>
    </row>
  </sheetData>
  <mergeCells count="16">
    <mergeCell ref="A6:A63"/>
    <mergeCell ref="A99:A163"/>
    <mergeCell ref="A77:A82"/>
    <mergeCell ref="I168:J168"/>
    <mergeCell ref="K168:L168"/>
    <mergeCell ref="G168:H168"/>
    <mergeCell ref="K98:L98"/>
    <mergeCell ref="C98:D98"/>
    <mergeCell ref="E98:F98"/>
    <mergeCell ref="G98:H98"/>
    <mergeCell ref="I98:J98"/>
    <mergeCell ref="C4:D4"/>
    <mergeCell ref="E4:F4"/>
    <mergeCell ref="G4:H4"/>
    <mergeCell ref="I4:J4"/>
    <mergeCell ref="K4:L4"/>
  </mergeCells>
  <conditionalFormatting sqref="C723:C726">
    <cfRule type="expression" dxfId="888" priority="1" stopIfTrue="1">
      <formula>AND(COUNTIF($M$582:$M$587, C723)+COUNTIF($M$593:$M$624, C723)+COUNTIF($M$627:$M$627, C723)+COUNTIF($M$642:$M$644, C723)&gt;1,NOT(ISBLANK(C723)))</formula>
    </cfRule>
  </conditionalFormatting>
  <conditionalFormatting sqref="C699:D718">
    <cfRule type="expression" dxfId="887" priority="3" stopIfTrue="1">
      <formula>AND(COUNTIF($M$582:$M$587, C699)+COUNTIF($M$593:$M$624, C699)+COUNTIF($M$627:$M$627, C699)+COUNTIF($M$642:$M$644, C699)&gt;1,NOT(ISBLANK(C699)))</formula>
    </cfRule>
  </conditionalFormatting>
  <conditionalFormatting sqref="D719:D722">
    <cfRule type="expression" dxfId="886" priority="2" stopIfTrue="1">
      <formula>AND(COUNTIF($M$582:$M$587, D719)+COUNTIF($M$593:$M$624, D719)+COUNTIF($M$627:$M$627, D719)+COUNTIF($M$642:$M$644, D719)&gt;1,NOT(ISBLANK(D719)))</formula>
    </cfRule>
  </conditionalFormatting>
  <conditionalFormatting sqref="M582:M587 M593:M624 M627 M642:M643">
    <cfRule type="expression" dxfId="885" priority="9" stopIfTrue="1">
      <formula>AND(COUNTIF($M$582:$M$587, M582)+COUNTIF($M$593:$M$624, M582)+COUNTIF($M$627:$M$627, M582)+COUNTIF($M$642:$M$644, M582)&gt;1,NOT(ISBLANK(M582)))</formula>
    </cfRule>
  </conditionalFormatting>
  <conditionalFormatting sqref="N616:Q619">
    <cfRule type="expression" dxfId="884"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heetViews>
  <sheetFormatPr defaultColWidth="0" defaultRowHeight="15" customHeight="1" zeroHeight="1"/>
  <cols>
    <col min="1" max="3" width="8.5703125" style="1" customWidth="1"/>
    <col min="4" max="4" width="6.5703125" style="1" customWidth="1"/>
    <col min="5" max="8" width="8.5703125" style="1" customWidth="1"/>
    <col min="9" max="9" width="6.42578125" style="1" customWidth="1"/>
    <col min="10" max="10" width="2.140625" style="1" customWidth="1"/>
    <col min="11" max="11" width="5.42578125" style="1" customWidth="1"/>
    <col min="12" max="14" width="8.5703125" style="1" customWidth="1"/>
    <col min="15" max="15" width="19.28515625" style="1" customWidth="1"/>
    <col min="16" max="16" width="8.5703125" style="1" customWidth="1"/>
    <col min="17" max="17" width="6.5703125" style="1" customWidth="1"/>
    <col min="18" max="19" width="8.5703125" style="1" customWidth="1"/>
    <col min="20" max="20" width="10.5703125" style="1" customWidth="1"/>
    <col min="21" max="22" width="8.5703125" style="1" hidden="1" customWidth="1"/>
    <col min="23" max="23" width="15.5703125" style="1" hidden="1" customWidth="1"/>
    <col min="24" max="16384" width="8.5703125" style="1" hidden="1"/>
  </cols>
  <sheetData>
    <row r="1" spans="1:23">
      <c r="A1" s="81"/>
      <c r="B1" s="81"/>
      <c r="C1" s="81"/>
      <c r="D1" s="81"/>
      <c r="E1" s="81"/>
      <c r="F1" s="81"/>
      <c r="G1" s="81"/>
      <c r="H1" s="81"/>
      <c r="I1" s="81"/>
      <c r="J1" s="81"/>
      <c r="K1" s="81"/>
      <c r="L1" s="81"/>
      <c r="M1" s="81"/>
      <c r="N1" s="81"/>
      <c r="O1" s="81"/>
    </row>
    <row r="2" spans="1:23" ht="15" customHeight="1">
      <c r="A2" s="82"/>
      <c r="B2" s="82"/>
      <c r="C2" s="82"/>
      <c r="D2" s="82"/>
      <c r="E2" s="82"/>
      <c r="F2" s="82"/>
      <c r="G2" s="82"/>
      <c r="H2" s="82"/>
      <c r="I2" s="82"/>
      <c r="J2" s="82"/>
      <c r="K2" s="82"/>
      <c r="L2" s="82"/>
      <c r="M2" s="82"/>
      <c r="N2" s="82"/>
      <c r="O2" s="82"/>
      <c r="P2" s="27"/>
      <c r="Q2" s="547" t="str">
        <f>'Translate&amp;Prices&amp;Logo'!$B$540</f>
        <v>Wprowadzenie</v>
      </c>
      <c r="R2" s="548"/>
      <c r="S2" s="548"/>
      <c r="T2" s="548"/>
      <c r="W2" s="11" t="b">
        <v>0</v>
      </c>
    </row>
    <row r="3" spans="1:23" ht="15" customHeight="1">
      <c r="A3" s="82"/>
      <c r="B3" s="82"/>
      <c r="C3" s="82"/>
      <c r="D3" s="82"/>
      <c r="E3" s="82"/>
      <c r="F3" s="82"/>
      <c r="G3" s="82"/>
      <c r="H3" s="82"/>
      <c r="I3" s="82"/>
      <c r="J3" s="82"/>
      <c r="K3" s="82"/>
      <c r="L3" s="82"/>
      <c r="M3" s="82"/>
      <c r="N3" s="82"/>
      <c r="O3" s="82"/>
      <c r="P3" s="27"/>
      <c r="Q3" s="547"/>
      <c r="R3" s="548"/>
      <c r="S3" s="548"/>
      <c r="T3" s="548"/>
    </row>
    <row r="4" spans="1:23"/>
    <row r="5" spans="1:23" ht="21">
      <c r="B5" s="303" t="str">
        <f>'Translate&amp;Prices&amp;Logo'!B680</f>
        <v>Warunki i zalecenia dotyczące prawidłowego zamawiania ramek aluminiowych.</v>
      </c>
    </row>
    <row r="6" spans="1:23" ht="11.1" customHeight="1">
      <c r="B6" s="295"/>
    </row>
    <row r="7" spans="1:23" ht="18" customHeight="1">
      <c r="B7" s="302" t="str">
        <f>'Translate&amp;Prices&amp;Logo'!B681</f>
        <v>Ogólne zalecenia:</v>
      </c>
    </row>
    <row r="8" spans="1:23" ht="15" customHeight="1">
      <c r="B8" s="1" t="str">
        <f>'Translate&amp;Prices&amp;Logo'!$B$302</f>
        <v>Zawsze korzystaj z aktualnej wersji formularza, który jest umieszczony na naszej stronie web.</v>
      </c>
    </row>
    <row r="9" spans="1:23" ht="15" customHeight="1">
      <c r="B9" s="19" t="str">
        <f>'Translate&amp;Prices&amp;Logo'!B682</f>
        <v>Podczas wypełniania formularza wypełniaj zawsze od góry do dołu.</v>
      </c>
    </row>
    <row r="10" spans="1:23">
      <c r="B10" s="19" t="str">
        <f>'Translate&amp;Prices&amp;Logo'!B683</f>
        <v>Jeśli dokonasz zmiany wstecz, konieczne będzie ponowne wpisanie danych poniżej zmiany.</v>
      </c>
      <c r="C10" s="294"/>
      <c r="D10" s="294"/>
      <c r="E10" s="294"/>
      <c r="F10" s="294"/>
      <c r="G10" s="294"/>
      <c r="H10" s="294"/>
      <c r="I10" s="294"/>
      <c r="J10" s="294"/>
      <c r="K10" s="294"/>
      <c r="L10" s="294"/>
      <c r="M10" s="294"/>
      <c r="N10" s="294"/>
      <c r="O10" s="294"/>
      <c r="P10" s="294"/>
    </row>
    <row r="11" spans="1:23">
      <c r="B11" s="19" t="str">
        <f>'Translate&amp;Prices&amp;Logo'!B684</f>
        <v>Przed wysłaniem zamówienia sprawdź formularz, czy są wpisane tylko te ramki, które chcesz zamówić.</v>
      </c>
    </row>
    <row r="12" spans="1:23" ht="15" customHeight="1">
      <c r="B12" s="294" t="str">
        <f>'Translate&amp;Prices&amp;Logo'!$B$314&amp;" "&amp;'Translate&amp;Prices&amp;Logo'!$B$315</f>
        <v>Wypełniony formularz wyślij pod adres email: zamowienia@demos-trade.com</v>
      </c>
      <c r="C12" s="294"/>
      <c r="D12" s="294"/>
      <c r="E12" s="294"/>
      <c r="F12" s="294"/>
      <c r="G12" s="294"/>
      <c r="H12" s="294"/>
      <c r="I12" s="294"/>
      <c r="J12" s="294"/>
      <c r="K12" s="294"/>
      <c r="L12" s="294"/>
      <c r="M12" s="294"/>
    </row>
    <row r="13" spans="1:23" ht="30" customHeight="1">
      <c r="B13" s="629" t="str">
        <f>'Translate&amp;Prices&amp;Logo'!B685</f>
        <v>Standardowy czas realizacji zamówienia wynosi maksymalnie trzy tygodnie. Aby uzyskać dokładniejsze informacje na temat terminu dostawy, prosimy o kontakt z pracownikami Biura Obsługi Klienta tel. 32 790 85 82.</v>
      </c>
      <c r="C13" s="629"/>
      <c r="D13" s="629"/>
      <c r="E13" s="629"/>
      <c r="F13" s="629"/>
      <c r="G13" s="629"/>
      <c r="H13" s="629"/>
      <c r="I13" s="629"/>
      <c r="J13" s="629"/>
      <c r="K13" s="629"/>
      <c r="L13" s="629"/>
      <c r="M13" s="629"/>
      <c r="N13" s="629"/>
      <c r="O13" s="629"/>
      <c r="P13" s="629"/>
      <c r="Q13" s="629"/>
      <c r="R13" s="629"/>
      <c r="S13" s="629"/>
    </row>
    <row r="14" spans="1:23" ht="45.75" customHeight="1">
      <c r="B14" s="626" t="str">
        <f>'Translate&amp;Prices&amp;Logo'!B671</f>
        <v>Przy odbiorze przesyłki kupujący powinien sprawdzić towar i w przypadku stwierdzenia widocznych uszkodzeń transportowych niezwłocznie zgłosić je kurierowi, spisując protokół. W przeciwnym razie reklamacja może zostać odrzucona.</v>
      </c>
      <c r="C14" s="626"/>
      <c r="D14" s="626"/>
      <c r="E14" s="626"/>
      <c r="F14" s="626"/>
      <c r="G14" s="626"/>
      <c r="H14" s="626"/>
      <c r="I14" s="626"/>
      <c r="J14" s="626"/>
      <c r="K14" s="626"/>
      <c r="L14" s="626"/>
      <c r="M14" s="626"/>
      <c r="N14" s="626"/>
      <c r="O14" s="626"/>
      <c r="P14" s="626"/>
      <c r="Q14" s="626"/>
      <c r="R14" s="626"/>
      <c r="S14" s="626"/>
    </row>
    <row r="15" spans="1:23" ht="32.25" customHeight="1">
      <c r="B15" s="1" t="str">
        <f>'Translate&amp;Prices&amp;Logo'!$B$171</f>
        <v>Podane ceny nie zawierają podatku VAT ani nie zawierają ceny okuć!</v>
      </c>
    </row>
    <row r="16" spans="1:23" ht="46.5" customHeight="1">
      <c r="B16" s="632" t="str">
        <f>IF(Zakaznik!K23="Dostawa na adres","W przypadku wyboru DOSTAWA NA ADRES do zamówienia zostanie automatycznie doliczona opłata transportowa. Cena zależna od rozmiaru ramki. Aby zobaczyć ostateczną cenę, kliknij na Podsumowanie. ","")</f>
        <v/>
      </c>
      <c r="C16" s="632"/>
      <c r="D16" s="632"/>
      <c r="E16" s="632"/>
      <c r="F16" s="632"/>
      <c r="G16" s="632"/>
      <c r="H16" s="632"/>
      <c r="I16" s="632"/>
      <c r="J16" s="632"/>
      <c r="K16" s="632"/>
      <c r="L16" s="388"/>
      <c r="M16" s="633" t="str">
        <f>IF(Zakaznik!K23="Dostawa na adres","W przypadku wyboru DOSTAWA NA ADRES w jednym zamówieniu nie można łączyć ramki ze szkłem i bez szkła. ","")</f>
        <v/>
      </c>
      <c r="N16" s="633"/>
      <c r="O16" s="633"/>
      <c r="P16" s="633"/>
      <c r="Q16" s="633"/>
      <c r="R16" s="633"/>
      <c r="S16" s="388"/>
      <c r="T16" s="388"/>
    </row>
    <row r="17" spans="2:20" ht="21.75" customHeight="1">
      <c r="B17" s="630" t="str">
        <f>'Translate&amp;Prices&amp;Logo'!B572</f>
        <v>Ważne informacje:</v>
      </c>
      <c r="C17" s="631"/>
      <c r="D17" s="631"/>
    </row>
    <row r="18" spans="2:20" ht="15" customHeight="1">
      <c r="B18" s="1" t="str">
        <f>'Translate&amp;Prices&amp;Logo'!$B$301</f>
        <v>Do zamocowania okuć do ramki aluminiowej należy stosować specjalnie do tego przeznaczone wkręty (np. kod 13681)</v>
      </c>
    </row>
    <row r="19" spans="2:20" ht="15" customHeight="1">
      <c r="B19" s="1" t="str">
        <f>'Translate&amp;Prices&amp;Logo'!$B$331</f>
        <v>Jeśli uchwyt będzie zamocowany w wierceniach w szkle, należy zastosować podkładkę dystansową (np. kod 144516, 191970, C0315)</v>
      </c>
    </row>
    <row r="20" spans="2:20"/>
    <row r="21" spans="2:20">
      <c r="B21" s="1" t="str">
        <f>'Translate&amp;Prices&amp;Logo'!$B$311</f>
        <v>Maksymalny zalecany rozmiar ramki to 2500 x 1250 mm (w wypadku ramek ze szkłem wklejanym, np. Corleone 1500 x 600 mm)</v>
      </c>
    </row>
    <row r="22" spans="2:20" ht="30" customHeight="1">
      <c r="B22" s="626" t="str">
        <f>'Translate&amp;Prices&amp;Logo'!B687</f>
        <v>Dla większych wymiarów ramki niż 2500 mm zalecamy użycie szprosów, w przeciwnym razie istnieje ryzyko wygięcia profilu lub wysunięcia szkła z profilu.</v>
      </c>
      <c r="C22" s="626"/>
      <c r="D22" s="626"/>
      <c r="E22" s="626"/>
      <c r="F22" s="626"/>
      <c r="G22" s="626"/>
      <c r="H22" s="626"/>
      <c r="I22" s="626"/>
      <c r="J22" s="626"/>
      <c r="K22" s="626"/>
      <c r="L22" s="626"/>
      <c r="M22" s="626"/>
      <c r="N22" s="626"/>
      <c r="O22" s="626"/>
      <c r="P22" s="626"/>
      <c r="Q22" s="626"/>
      <c r="R22" s="626"/>
      <c r="S22" s="626"/>
      <c r="T22" s="299"/>
    </row>
    <row r="23" spans="2:20" ht="30" customHeight="1">
      <c r="B23" s="626" t="str">
        <f>'Translate&amp;Prices&amp;Logo'!$B$327</f>
        <v>Do ramek ponadgabarytowych (ponad rozmiar 1200 x 800 mm) może być doliczana opłata za specjalne zapakowanie i transport (dodatkowe informacje w Biurze Obsługi Klienta tel. 32 790 85 82)</v>
      </c>
      <c r="C23" s="626"/>
      <c r="D23" s="626"/>
      <c r="E23" s="626"/>
      <c r="F23" s="626"/>
      <c r="G23" s="626"/>
      <c r="H23" s="626"/>
      <c r="I23" s="626"/>
      <c r="J23" s="626"/>
      <c r="K23" s="626"/>
      <c r="L23" s="626"/>
      <c r="M23" s="626"/>
      <c r="N23" s="626"/>
      <c r="O23" s="626"/>
      <c r="P23" s="626"/>
      <c r="Q23" s="626"/>
      <c r="R23" s="626"/>
      <c r="S23" s="626"/>
    </row>
    <row r="24" spans="2:20">
      <c r="B24" s="1" t="str">
        <f>'Translate&amp;Prices&amp;Logo'!$B$300</f>
        <v>Reklamacja nie będzie uwzględniana w przypadku, gdy ramka została już zamontowana..</v>
      </c>
    </row>
    <row r="25" spans="2:20">
      <c r="B25" s="1" t="str">
        <f>'Translate&amp;Prices&amp;Logo'!$B$689</f>
        <v>Siatka w ramce jest standardowo ustawiona poziomo. Jeśli otwory siatki mają być ustawione pionowo, prosimy o wskazanie tego w uwagach.</v>
      </c>
    </row>
    <row r="26" spans="2:20">
      <c r="B26" s="300" t="str">
        <f>'Translate&amp;Prices&amp;Logo'!B694</f>
        <v>Kolor profilu i siatki może się różnić z powodu tolerancji w procesie produkcji.</v>
      </c>
    </row>
    <row r="27" spans="2:20" ht="30" customHeight="1" thickBot="1">
      <c r="B27" s="302" t="str">
        <f>'Translate&amp;Prices&amp;Logo'!$B$690</f>
        <v>Potwierdzam, że rozumiem i akceptuję powyższe warunki i zalecenia.</v>
      </c>
    </row>
    <row r="28" spans="2:20">
      <c r="B28" s="301"/>
      <c r="M28" s="627"/>
    </row>
    <row r="29" spans="2:20" ht="15.75" thickBot="1">
      <c r="B29" s="301"/>
      <c r="M29" s="628"/>
    </row>
    <row r="30" spans="2:20" ht="6.75" customHeight="1"/>
    <row r="31" spans="2:20" ht="15" customHeight="1">
      <c r="B31" s="547" t="str">
        <f>"&lt;"&amp;" "&amp;'Translate&amp;Prices&amp;Logo'!$B$574</f>
        <v>&lt; Powrót</v>
      </c>
      <c r="C31" s="548"/>
      <c r="R31" s="547" t="str">
        <f>IF(W2=TRUE,(CONCATENATE('Translate&amp;Prices&amp;Logo'!$B$566," &gt;"))," ")</f>
        <v xml:space="preserve"> </v>
      </c>
      <c r="S31" s="548"/>
    </row>
    <row r="32" spans="2:20" ht="15" customHeight="1">
      <c r="B32" s="547"/>
      <c r="C32" s="548"/>
      <c r="R32" s="547"/>
      <c r="S32" s="548"/>
    </row>
    <row r="33"/>
    <row r="34"/>
  </sheetData>
  <sheetProtection algorithmName="SHA-512" hashValue="Cj3MbU7IdA39Bvf1f6BJ1T+eKUb/wNbgodMUssQ7qVQ0Y3M7AHyOMqCaEyN/NAVvYDKImS/U7adkGpf5YdSjQg==" saltValue="ssDgSAsqD028jDB3j+kuXA==" spinCount="100000" sheet="1" objects="1" scenarios="1"/>
  <mergeCells count="11">
    <mergeCell ref="B31:C32"/>
    <mergeCell ref="R31:S32"/>
    <mergeCell ref="Q2:T3"/>
    <mergeCell ref="B22:S22"/>
    <mergeCell ref="B23:S23"/>
    <mergeCell ref="M28:M29"/>
    <mergeCell ref="B13:S13"/>
    <mergeCell ref="B17:D17"/>
    <mergeCell ref="B16:K16"/>
    <mergeCell ref="M16:R16"/>
    <mergeCell ref="B14:S14"/>
  </mergeCells>
  <conditionalFormatting sqref="R31:S32">
    <cfRule type="expression" dxfId="882"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180975</xdr:colOff>
                    <xdr:row>26</xdr:row>
                    <xdr:rowOff>628650</xdr:rowOff>
                  </from>
                  <to>
                    <xdr:col>12</xdr:col>
                    <xdr:colOff>428625</xdr:colOff>
                    <xdr:row>28</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 M16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workbookViewId="0"/>
  </sheetViews>
  <sheetFormatPr defaultColWidth="8.5703125" defaultRowHeight="15"/>
  <cols>
    <col min="1" max="1" width="30" customWidth="1"/>
    <col min="2" max="2" width="25.42578125" customWidth="1"/>
    <col min="3" max="3" width="26.5703125" bestFit="1" customWidth="1"/>
    <col min="4" max="11" width="24.5703125" customWidth="1"/>
    <col min="12" max="12" width="20.42578125" customWidth="1"/>
    <col min="13" max="13" width="23" customWidth="1"/>
    <col min="14" max="14" width="19.140625" bestFit="1" customWidth="1"/>
    <col min="15" max="15" width="23.42578125" bestFit="1" customWidth="1"/>
    <col min="16" max="16" width="20.140625" bestFit="1" customWidth="1"/>
    <col min="17" max="17" width="19.140625" bestFit="1" customWidth="1"/>
    <col min="18" max="18" width="14.5703125" customWidth="1"/>
    <col min="20" max="20" width="18.5703125" bestFit="1" customWidth="1"/>
    <col min="21" max="21" width="9.5703125" customWidth="1"/>
    <col min="22" max="22" width="19.5703125" customWidth="1"/>
    <col min="23" max="23" width="19.42578125" bestFit="1" customWidth="1"/>
    <col min="25" max="31" width="13.42578125" customWidth="1"/>
    <col min="69" max="69" width="13.42578125" customWidth="1"/>
    <col min="80" max="80" width="21.5703125" customWidth="1"/>
    <col min="85" max="85" width="17.42578125" customWidth="1"/>
    <col min="86" max="86" width="24.7109375" customWidth="1"/>
    <col min="87" max="87" width="29.140625" customWidth="1"/>
    <col min="88" max="88" width="30.5703125" customWidth="1"/>
    <col min="89" max="89" width="26.85546875" customWidth="1"/>
    <col min="90" max="90" width="38.7109375" customWidth="1"/>
    <col min="91" max="91" width="29.85546875" bestFit="1" customWidth="1"/>
    <col min="92" max="92" width="25.28515625" customWidth="1"/>
    <col min="93" max="93" width="26.5703125" customWidth="1"/>
    <col min="94" max="94" width="17.7109375" customWidth="1"/>
    <col min="95" max="95" width="19.42578125" customWidth="1"/>
    <col min="96" max="98" width="25.140625" bestFit="1" customWidth="1"/>
    <col min="99" max="100" width="29.85546875" bestFit="1" customWidth="1"/>
    <col min="101" max="102" width="20.28515625" bestFit="1" customWidth="1"/>
    <col min="103" max="104" width="29.85546875" bestFit="1" customWidth="1"/>
    <col min="105" max="105" width="20.28515625" bestFit="1" customWidth="1"/>
    <col min="106" max="106" width="15.85546875" customWidth="1"/>
    <col min="109" max="109" width="26.5703125" customWidth="1"/>
    <col min="111" max="111" width="26" customWidth="1"/>
    <col min="112" max="112" width="28.7109375" customWidth="1"/>
    <col min="113" max="113" width="33.85546875" customWidth="1"/>
    <col min="114" max="114" width="23.85546875" bestFit="1" customWidth="1"/>
    <col min="115" max="115" width="21.140625" customWidth="1"/>
    <col min="116" max="116" width="19.42578125" customWidth="1"/>
    <col min="117" max="117" width="20.85546875" customWidth="1"/>
    <col min="118" max="118" width="26.42578125" bestFit="1" customWidth="1"/>
    <col min="129" max="129" width="32.7109375" customWidth="1"/>
    <col min="132" max="132" width="34.28515625" bestFit="1" customWidth="1"/>
    <col min="133" max="133" width="22" bestFit="1" customWidth="1"/>
    <col min="134" max="134" width="23.28515625" bestFit="1" customWidth="1"/>
    <col min="135" max="135" width="20.85546875" bestFit="1" customWidth="1"/>
    <col min="136" max="136" width="21.42578125" bestFit="1" customWidth="1"/>
    <col min="137" max="137" width="20" bestFit="1" customWidth="1"/>
    <col min="138" max="138" width="21.42578125" bestFit="1" customWidth="1"/>
    <col min="139" max="139" width="21" bestFit="1" customWidth="1"/>
    <col min="140" max="140" width="22.42578125" bestFit="1" customWidth="1"/>
    <col min="141" max="141" width="22" bestFit="1" customWidth="1"/>
    <col min="142" max="142" width="20.5703125" bestFit="1" customWidth="1"/>
    <col min="143" max="143" width="22.42578125" bestFit="1" customWidth="1"/>
    <col min="144" max="144" width="23.7109375" bestFit="1" customWidth="1"/>
  </cols>
  <sheetData>
    <row r="1" spans="1:156">
      <c r="A1" s="48" t="s">
        <v>1020</v>
      </c>
      <c r="B1" s="48"/>
      <c r="C1" s="48"/>
      <c r="D1" s="48"/>
      <c r="E1" s="48"/>
      <c r="F1" s="48"/>
      <c r="G1" s="48"/>
      <c r="H1" s="48"/>
      <c r="I1" s="48"/>
      <c r="J1" s="48"/>
      <c r="K1" s="48"/>
      <c r="L1" s="48"/>
      <c r="M1" s="48"/>
      <c r="N1" s="48"/>
      <c r="O1" s="48"/>
      <c r="P1" s="48"/>
      <c r="Q1" s="48"/>
      <c r="R1" s="48"/>
      <c r="S1" s="49"/>
      <c r="T1" s="48" t="s">
        <v>401</v>
      </c>
      <c r="U1" s="48"/>
      <c r="V1" s="48"/>
      <c r="W1" s="48"/>
      <c r="X1" s="49"/>
      <c r="Y1" s="48" t="s">
        <v>8</v>
      </c>
      <c r="Z1" s="48"/>
      <c r="AA1" s="48"/>
      <c r="AB1" s="48"/>
      <c r="AC1" s="48"/>
      <c r="AD1" s="48"/>
      <c r="AE1" s="48"/>
      <c r="AF1" s="49"/>
      <c r="BQ1" t="s">
        <v>834</v>
      </c>
      <c r="BW1" t="s">
        <v>112</v>
      </c>
    </row>
    <row r="2" spans="1:156">
      <c r="A2" s="51" t="s">
        <v>1032</v>
      </c>
      <c r="B2" s="51" t="s">
        <v>575</v>
      </c>
      <c r="C2" s="51"/>
      <c r="D2">
        <v>1</v>
      </c>
      <c r="E2">
        <v>2</v>
      </c>
      <c r="F2">
        <v>3</v>
      </c>
      <c r="G2">
        <v>4</v>
      </c>
      <c r="H2">
        <v>5</v>
      </c>
      <c r="I2">
        <v>6</v>
      </c>
      <c r="J2">
        <v>7</v>
      </c>
      <c r="K2">
        <v>8</v>
      </c>
      <c r="L2">
        <v>9</v>
      </c>
      <c r="M2">
        <v>10</v>
      </c>
      <c r="N2">
        <v>11</v>
      </c>
      <c r="O2">
        <v>12</v>
      </c>
      <c r="P2">
        <v>13</v>
      </c>
      <c r="Q2">
        <v>14</v>
      </c>
      <c r="R2">
        <v>15</v>
      </c>
      <c r="S2" s="49"/>
      <c r="T2" s="50" t="s">
        <v>1022</v>
      </c>
      <c r="U2" s="50" t="s">
        <v>834</v>
      </c>
      <c r="V2" s="50" t="s">
        <v>1033</v>
      </c>
      <c r="W2" s="50" t="s">
        <v>1034</v>
      </c>
      <c r="X2" s="49"/>
      <c r="Y2" s="52">
        <v>1</v>
      </c>
      <c r="Z2" s="52">
        <v>2</v>
      </c>
      <c r="AA2" s="52">
        <v>3</v>
      </c>
      <c r="AB2" s="52">
        <v>4</v>
      </c>
      <c r="AC2" s="52">
        <v>5</v>
      </c>
      <c r="AD2" s="52">
        <v>6</v>
      </c>
      <c r="AE2" s="52">
        <v>7</v>
      </c>
      <c r="AF2" s="49"/>
      <c r="AO2" t="str">
        <f>'Translate&amp;Prices&amp;Logo'!B227</f>
        <v>W górę</v>
      </c>
      <c r="AP2" t="str">
        <f>'Translate&amp;Prices&amp;Logo'!B229</f>
        <v>W prawo</v>
      </c>
      <c r="BQ2" t="str">
        <f>'Translate&amp;Prices&amp;Logo'!$B$551</f>
        <v>Zawiasy</v>
      </c>
      <c r="BR2" t="str">
        <f>'Translate&amp;Prices&amp;Logo'!$B$552</f>
        <v>Podnośniki</v>
      </c>
      <c r="BW2" t="str">
        <f>'Translate&amp;Prices&amp;Logo'!$B$230</f>
        <v>W lewo</v>
      </c>
      <c r="CG2" t="s">
        <v>458</v>
      </c>
      <c r="CH2" t="s">
        <v>1201</v>
      </c>
      <c r="CI2" t="s">
        <v>458</v>
      </c>
      <c r="CJ2" t="s">
        <v>1201</v>
      </c>
      <c r="CK2" t="s">
        <v>458</v>
      </c>
      <c r="CL2" t="s">
        <v>1201</v>
      </c>
      <c r="CM2" t="s">
        <v>458</v>
      </c>
      <c r="CN2" t="s">
        <v>1201</v>
      </c>
      <c r="CO2" t="s">
        <v>458</v>
      </c>
      <c r="CP2" t="s">
        <v>1201</v>
      </c>
      <c r="CQ2" t="s">
        <v>458</v>
      </c>
      <c r="CR2" t="s">
        <v>1201</v>
      </c>
      <c r="CS2" t="s">
        <v>458</v>
      </c>
      <c r="CT2" t="s">
        <v>1201</v>
      </c>
      <c r="CU2" t="s">
        <v>458</v>
      </c>
      <c r="CV2" t="s">
        <v>1201</v>
      </c>
      <c r="CW2" t="s">
        <v>458</v>
      </c>
      <c r="CX2" t="s">
        <v>1201</v>
      </c>
      <c r="CY2" t="s">
        <v>458</v>
      </c>
      <c r="CZ2" t="s">
        <v>1201</v>
      </c>
      <c r="DA2" t="s">
        <v>458</v>
      </c>
      <c r="DB2" t="s">
        <v>1201</v>
      </c>
      <c r="DC2" t="s">
        <v>458</v>
      </c>
      <c r="DD2" t="s">
        <v>1201</v>
      </c>
      <c r="DE2" t="s">
        <v>458</v>
      </c>
      <c r="DF2" t="s">
        <v>1201</v>
      </c>
      <c r="DG2" t="s">
        <v>458</v>
      </c>
      <c r="DH2" t="s">
        <v>1201</v>
      </c>
      <c r="DI2" t="s">
        <v>458</v>
      </c>
      <c r="DJ2" t="s">
        <v>1201</v>
      </c>
      <c r="DK2" t="s">
        <v>458</v>
      </c>
      <c r="DL2" t="s">
        <v>1201</v>
      </c>
    </row>
    <row r="3" spans="1:156">
      <c r="A3" s="50" t="s">
        <v>107</v>
      </c>
      <c r="B3" s="50" t="s">
        <v>577</v>
      </c>
      <c r="C3" s="50" t="str">
        <f>CONCATENATE("_",A3,"_",B3)</f>
        <v>_Úzký ALU rámeček_Aventos HF</v>
      </c>
      <c r="D3" t="s">
        <v>1128</v>
      </c>
      <c r="E3" t="s">
        <v>1129</v>
      </c>
      <c r="F3" t="s">
        <v>1130</v>
      </c>
      <c r="G3" t="s">
        <v>1131</v>
      </c>
      <c r="H3" t="s">
        <v>1132</v>
      </c>
      <c r="I3" t="s">
        <v>1133</v>
      </c>
      <c r="S3" s="49"/>
      <c r="T3">
        <v>1</v>
      </c>
      <c r="U3" t="s">
        <v>2</v>
      </c>
      <c r="V3" t="s">
        <v>1134</v>
      </c>
      <c r="W3" t="s">
        <v>1135</v>
      </c>
      <c r="X3" s="49"/>
      <c r="AF3" s="49"/>
      <c r="AO3" t="str">
        <f>'Translate&amp;Prices&amp;Logo'!B228</f>
        <v>W dół</v>
      </c>
      <c r="AP3" t="str">
        <f>'Translate&amp;Prices&amp;Logo'!B230</f>
        <v>W lewo</v>
      </c>
      <c r="BQ3" t="s">
        <v>1070</v>
      </c>
      <c r="BR3" t="s">
        <v>1040</v>
      </c>
      <c r="BW3" t="str">
        <f>'Translate&amp;Prices&amp;Logo'!$B$229</f>
        <v>W prawo</v>
      </c>
      <c r="CG3" t="s">
        <v>2511</v>
      </c>
      <c r="CH3" t="s">
        <v>2511</v>
      </c>
      <c r="CI3" t="s">
        <v>2275</v>
      </c>
      <c r="CJ3" t="s">
        <v>2275</v>
      </c>
      <c r="CK3" t="s">
        <v>1050</v>
      </c>
      <c r="CL3" t="s">
        <v>1050</v>
      </c>
      <c r="CM3" t="s">
        <v>1053</v>
      </c>
      <c r="CN3" t="s">
        <v>1053</v>
      </c>
      <c r="CO3" t="s">
        <v>1060</v>
      </c>
      <c r="CP3" t="s">
        <v>1060</v>
      </c>
      <c r="CQ3" t="s">
        <v>1211</v>
      </c>
      <c r="CR3" t="s">
        <v>1211</v>
      </c>
      <c r="CS3" t="s">
        <v>1055</v>
      </c>
      <c r="CT3" t="s">
        <v>1055</v>
      </c>
      <c r="CU3" t="s">
        <v>1061</v>
      </c>
      <c r="CV3" t="s">
        <v>1061</v>
      </c>
      <c r="CW3" t="s">
        <v>2674</v>
      </c>
      <c r="CX3" t="s">
        <v>2674</v>
      </c>
      <c r="CY3" t="s">
        <v>1064</v>
      </c>
      <c r="CZ3" t="s">
        <v>1064</v>
      </c>
      <c r="DA3" t="s">
        <v>2688</v>
      </c>
      <c r="DB3" t="s">
        <v>2688</v>
      </c>
      <c r="DC3" t="s">
        <v>1066</v>
      </c>
      <c r="DD3" t="s">
        <v>1066</v>
      </c>
      <c r="DE3" t="s">
        <v>1067</v>
      </c>
      <c r="DF3" t="s">
        <v>1067</v>
      </c>
      <c r="DG3" t="s">
        <v>2644</v>
      </c>
      <c r="DH3" t="s">
        <v>2644</v>
      </c>
      <c r="DI3" t="s">
        <v>2645</v>
      </c>
      <c r="DJ3" t="s">
        <v>2645</v>
      </c>
      <c r="DK3" t="s">
        <v>1071</v>
      </c>
      <c r="DL3" t="s">
        <v>1071</v>
      </c>
    </row>
    <row r="4" spans="1:156">
      <c r="A4" s="50" t="s">
        <v>108</v>
      </c>
      <c r="B4" s="50" t="s">
        <v>577</v>
      </c>
      <c r="C4" s="50" t="str">
        <f>CONCATENATE("_",A4,"_",B4)</f>
        <v>_Široký ALU rámeček_Aventos HF</v>
      </c>
      <c r="D4" t="s">
        <v>1136</v>
      </c>
      <c r="E4" t="s">
        <v>1129</v>
      </c>
      <c r="F4" t="s">
        <v>1137</v>
      </c>
      <c r="G4" t="s">
        <v>1138</v>
      </c>
      <c r="H4" t="s">
        <v>1139</v>
      </c>
      <c r="I4" t="s">
        <v>1140</v>
      </c>
      <c r="S4" s="49"/>
      <c r="V4" t="s">
        <v>1141</v>
      </c>
      <c r="W4" t="s">
        <v>1142</v>
      </c>
      <c r="X4" s="49"/>
      <c r="AF4" s="49"/>
      <c r="AO4" t="str">
        <f>'Translate&amp;Prices&amp;Logo'!B229</f>
        <v>W prawo</v>
      </c>
      <c r="BQ4" t="s">
        <v>1040</v>
      </c>
      <c r="BR4" t="s">
        <v>1062</v>
      </c>
      <c r="BW4" t="str">
        <f>'Translate&amp;Prices&amp;Logo'!$B$227</f>
        <v>W górę</v>
      </c>
      <c r="CG4" t="s">
        <v>3872</v>
      </c>
      <c r="CH4" t="s">
        <v>3873</v>
      </c>
      <c r="CI4" t="s">
        <v>3874</v>
      </c>
      <c r="CJ4" t="s">
        <v>3875</v>
      </c>
      <c r="CK4" t="s">
        <v>3876</v>
      </c>
      <c r="CL4" t="s">
        <v>3877</v>
      </c>
      <c r="CM4" t="s">
        <v>3878</v>
      </c>
      <c r="CN4" t="s">
        <v>3879</v>
      </c>
      <c r="CO4" t="s">
        <v>3880</v>
      </c>
      <c r="CP4" t="s">
        <v>3881</v>
      </c>
      <c r="CQ4" t="s">
        <v>3882</v>
      </c>
      <c r="CR4" t="s">
        <v>3883</v>
      </c>
      <c r="CS4" t="s">
        <v>3884</v>
      </c>
      <c r="CT4" t="s">
        <v>3885</v>
      </c>
      <c r="CU4" t="s">
        <v>3886</v>
      </c>
      <c r="CV4" t="s">
        <v>3887</v>
      </c>
      <c r="CW4" t="s">
        <v>3888</v>
      </c>
      <c r="CX4" t="s">
        <v>3889</v>
      </c>
      <c r="CY4" t="s">
        <v>3890</v>
      </c>
      <c r="CZ4" t="s">
        <v>3891</v>
      </c>
      <c r="DA4" t="s">
        <v>3892</v>
      </c>
      <c r="DB4" t="s">
        <v>3893</v>
      </c>
      <c r="DC4" t="s">
        <v>3894</v>
      </c>
      <c r="DD4" t="s">
        <v>3895</v>
      </c>
      <c r="DE4" t="s">
        <v>3896</v>
      </c>
      <c r="DF4" t="s">
        <v>3897</v>
      </c>
      <c r="DG4" t="s">
        <v>3898</v>
      </c>
      <c r="DH4" t="s">
        <v>3899</v>
      </c>
      <c r="DI4" t="s">
        <v>3900</v>
      </c>
      <c r="DJ4" t="s">
        <v>3901</v>
      </c>
      <c r="DK4" t="s">
        <v>3902</v>
      </c>
      <c r="DL4" t="s">
        <v>3903</v>
      </c>
      <c r="DM4" t="s">
        <v>3216</v>
      </c>
      <c r="DN4" t="s">
        <v>3213</v>
      </c>
      <c r="DO4" t="s">
        <v>3214</v>
      </c>
      <c r="DP4" t="s">
        <v>3215</v>
      </c>
      <c r="DQ4" t="s">
        <v>3211</v>
      </c>
      <c r="DR4" t="s">
        <v>3212</v>
      </c>
      <c r="DS4" t="s">
        <v>3209</v>
      </c>
      <c r="DT4" t="s">
        <v>3210</v>
      </c>
      <c r="DU4" t="s">
        <v>3223</v>
      </c>
      <c r="DV4" t="s">
        <v>3224</v>
      </c>
      <c r="DW4" t="s">
        <v>3225</v>
      </c>
      <c r="DX4" t="s">
        <v>3226</v>
      </c>
      <c r="DY4" t="s">
        <v>3228</v>
      </c>
      <c r="DZ4" t="s">
        <v>3229</v>
      </c>
      <c r="EA4" t="s">
        <v>3230</v>
      </c>
      <c r="EB4" t="s">
        <v>3231</v>
      </c>
      <c r="EC4" t="s">
        <v>4339</v>
      </c>
      <c r="ED4" t="s">
        <v>4340</v>
      </c>
      <c r="EE4" t="s">
        <v>4345</v>
      </c>
      <c r="EF4" t="s">
        <v>4346</v>
      </c>
      <c r="EG4" t="s">
        <v>4343</v>
      </c>
      <c r="EH4" t="s">
        <v>4344</v>
      </c>
      <c r="EI4" t="s">
        <v>4342</v>
      </c>
      <c r="EJ4" t="s">
        <v>4341</v>
      </c>
      <c r="EK4" t="s">
        <v>4364</v>
      </c>
      <c r="EL4" t="s">
        <v>4365</v>
      </c>
      <c r="EM4" t="s">
        <v>4366</v>
      </c>
      <c r="EN4" t="s">
        <v>4367</v>
      </c>
      <c r="EO4" t="s">
        <v>4368</v>
      </c>
      <c r="EP4" t="s">
        <v>4369</v>
      </c>
      <c r="EQ4" t="s">
        <v>4370</v>
      </c>
      <c r="ER4" t="s">
        <v>4371</v>
      </c>
      <c r="ES4" t="s">
        <v>4379</v>
      </c>
      <c r="ET4" t="s">
        <v>4380</v>
      </c>
      <c r="EU4" t="s">
        <v>4381</v>
      </c>
      <c r="EV4" t="s">
        <v>4382</v>
      </c>
      <c r="EW4" t="s">
        <v>4383</v>
      </c>
      <c r="EX4" t="s">
        <v>4384</v>
      </c>
      <c r="EY4" t="s">
        <v>4385</v>
      </c>
      <c r="EZ4" t="s">
        <v>4386</v>
      </c>
    </row>
    <row r="5" spans="1:156">
      <c r="A5" s="53" t="s">
        <v>107</v>
      </c>
      <c r="B5" t="s">
        <v>2275</v>
      </c>
      <c r="C5" s="53" t="str">
        <f t="shared" ref="C5:C34" si="0">CONCATENATE("_",A5,"_",B5)</f>
        <v>_Úzký ALU rámeček_Aventos_HK_XS</v>
      </c>
      <c r="D5" t="s">
        <v>1128</v>
      </c>
      <c r="E5" t="s">
        <v>1129</v>
      </c>
      <c r="F5" t="s">
        <v>1144</v>
      </c>
      <c r="G5" t="s">
        <v>1145</v>
      </c>
      <c r="S5" s="49"/>
      <c r="V5" t="s">
        <v>1146</v>
      </c>
      <c r="W5" t="s">
        <v>1147</v>
      </c>
      <c r="X5" s="49"/>
      <c r="AF5" s="49"/>
      <c r="AO5" t="str">
        <f>'Translate&amp;Prices&amp;Logo'!B230</f>
        <v>W lewo</v>
      </c>
      <c r="BQ5" t="s">
        <v>2577</v>
      </c>
      <c r="BR5" t="s">
        <v>2640</v>
      </c>
      <c r="BW5" t="str">
        <f>'Translate&amp;Prices&amp;Logo'!$B$228</f>
        <v>W dół</v>
      </c>
      <c r="CG5" t="s">
        <v>2710</v>
      </c>
      <c r="CH5" t="s">
        <v>2711</v>
      </c>
      <c r="CI5" t="str">
        <f>CONCATENATE("blum ",'Translate&amp;Prices&amp;Logo'!B662," 118033")</f>
        <v>blum z tłumieniem 118033</v>
      </c>
      <c r="CJ5" t="str">
        <f>CONCATENATE("blum ",'Translate&amp;Prices&amp;Logo'!B662," 12047")</f>
        <v>blum z tłumieniem 12047</v>
      </c>
      <c r="CK5" t="s">
        <v>2649</v>
      </c>
      <c r="CL5" t="s">
        <v>2650</v>
      </c>
      <c r="CM5" t="s">
        <v>2649</v>
      </c>
      <c r="CN5" t="s">
        <v>2650</v>
      </c>
      <c r="CO5" t="s">
        <v>2649</v>
      </c>
      <c r="CP5" t="s">
        <v>2650</v>
      </c>
      <c r="CQ5" t="str">
        <f>CONCATENATE("hettich ",'Translate&amp;Prices&amp;Logo'!B664," 300282")</f>
        <v>hettich dolny 300282</v>
      </c>
      <c r="CR5" t="str">
        <f>CONCATENATE("hettich ",'Translate&amp;Prices&amp;Logo'!B664," 232346")</f>
        <v>hettich dolny 232346</v>
      </c>
      <c r="CS5" t="str">
        <f>CONCATENATE("hettich ",'Translate&amp;Prices&amp;Logo'!B664," 300282")</f>
        <v>hettich dolny 300282</v>
      </c>
      <c r="CT5" t="str">
        <f>CONCATENATE("hettich ",'Translate&amp;Prices&amp;Logo'!B664," 232346")</f>
        <v>hettich dolny 232346</v>
      </c>
      <c r="CU5" t="s">
        <v>2649</v>
      </c>
      <c r="CV5" t="s">
        <v>2650</v>
      </c>
      <c r="CW5" t="s">
        <v>1172</v>
      </c>
      <c r="CX5" t="s">
        <v>1186</v>
      </c>
      <c r="CY5" t="s">
        <v>2649</v>
      </c>
      <c r="CZ5" t="s">
        <v>2650</v>
      </c>
      <c r="DA5" t="s">
        <v>1172</v>
      </c>
      <c r="DB5" t="s">
        <v>1186</v>
      </c>
      <c r="DC5" t="str">
        <f>CONCATENATE("hettich ",'Translate&amp;Prices&amp;Logo'!B664," 300282")</f>
        <v>hettich dolny 300282</v>
      </c>
      <c r="DD5" t="s">
        <v>1186</v>
      </c>
      <c r="DE5" t="str">
        <f>CONCATENATE("hettich ",'Translate&amp;Prices&amp;Logo'!B664," 300282")</f>
        <v>hettich dolny 300282</v>
      </c>
      <c r="DF5" t="s">
        <v>1186</v>
      </c>
      <c r="DG5" t="s">
        <v>2649</v>
      </c>
      <c r="DH5" t="s">
        <v>2650</v>
      </c>
      <c r="DI5" t="s">
        <v>2649</v>
      </c>
      <c r="DJ5" t="s">
        <v>2650</v>
      </c>
      <c r="DK5" t="str">
        <f>CONCATENATE("hettich ",'Translate&amp;Prices&amp;Logo'!B664," 300282")</f>
        <v>hettich dolny 300282</v>
      </c>
      <c r="DL5" t="s">
        <v>1186</v>
      </c>
      <c r="DM5" t="s">
        <v>2650</v>
      </c>
      <c r="DN5" t="s">
        <v>2649</v>
      </c>
      <c r="DO5" t="s">
        <v>2650</v>
      </c>
      <c r="DP5" t="s">
        <v>2649</v>
      </c>
      <c r="DQ5" t="s">
        <v>2676</v>
      </c>
      <c r="DR5" t="s">
        <v>1186</v>
      </c>
      <c r="DS5" t="s">
        <v>2676</v>
      </c>
      <c r="DT5" t="s">
        <v>1186</v>
      </c>
      <c r="DU5" t="s">
        <v>3227</v>
      </c>
      <c r="DV5" t="s">
        <v>1186</v>
      </c>
      <c r="DW5" t="s">
        <v>3227</v>
      </c>
      <c r="DX5" t="s">
        <v>1186</v>
      </c>
      <c r="DY5" t="s">
        <v>2649</v>
      </c>
      <c r="DZ5" t="s">
        <v>2650</v>
      </c>
      <c r="EA5" t="s">
        <v>2649</v>
      </c>
      <c r="EB5" t="s">
        <v>2650</v>
      </c>
      <c r="EC5" t="s">
        <v>2649</v>
      </c>
      <c r="ED5" t="s">
        <v>2650</v>
      </c>
      <c r="EE5" t="s">
        <v>2649</v>
      </c>
      <c r="EF5" t="s">
        <v>2650</v>
      </c>
      <c r="EG5" t="s">
        <v>4349</v>
      </c>
      <c r="EH5" t="s">
        <v>1186</v>
      </c>
      <c r="EI5" t="s">
        <v>4349</v>
      </c>
      <c r="EJ5" t="s">
        <v>1186</v>
      </c>
      <c r="EK5" t="s">
        <v>2649</v>
      </c>
      <c r="EL5" t="s">
        <v>2650</v>
      </c>
      <c r="EM5" t="s">
        <v>2649</v>
      </c>
      <c r="EN5" t="s">
        <v>2650</v>
      </c>
      <c r="EO5" t="s">
        <v>3132</v>
      </c>
      <c r="EP5" t="s">
        <v>1186</v>
      </c>
      <c r="EQ5" t="s">
        <v>3132</v>
      </c>
      <c r="ER5" t="s">
        <v>1186</v>
      </c>
      <c r="ES5" t="s">
        <v>2649</v>
      </c>
      <c r="ET5" t="s">
        <v>2650</v>
      </c>
      <c r="EU5" t="s">
        <v>2649</v>
      </c>
      <c r="EV5" t="s">
        <v>2650</v>
      </c>
      <c r="EW5" t="s">
        <v>4387</v>
      </c>
      <c r="EX5" t="s">
        <v>1186</v>
      </c>
      <c r="EY5" t="s">
        <v>4387</v>
      </c>
      <c r="EZ5" t="s">
        <v>1186</v>
      </c>
    </row>
    <row r="6" spans="1:156">
      <c r="A6" s="53" t="s">
        <v>108</v>
      </c>
      <c r="B6" t="s">
        <v>2275</v>
      </c>
      <c r="C6" s="53" t="str">
        <f t="shared" si="0"/>
        <v>_Široký ALU rámeček_Aventos_HK_XS</v>
      </c>
      <c r="D6" t="s">
        <v>1148</v>
      </c>
      <c r="E6" t="s">
        <v>1129</v>
      </c>
      <c r="F6" t="s">
        <v>1149</v>
      </c>
      <c r="G6" t="s">
        <v>1140</v>
      </c>
      <c r="H6" t="s">
        <v>1145</v>
      </c>
      <c r="S6" s="49"/>
      <c r="V6" t="s">
        <v>1147</v>
      </c>
      <c r="W6" t="s">
        <v>1150</v>
      </c>
      <c r="X6" s="49"/>
      <c r="AF6" s="49"/>
      <c r="BQ6" s="75" t="s">
        <v>2583</v>
      </c>
      <c r="BR6" t="s">
        <v>1052</v>
      </c>
      <c r="CG6" t="s">
        <v>2710</v>
      </c>
      <c r="CH6" t="s">
        <v>2711</v>
      </c>
      <c r="CI6" t="s">
        <v>2710</v>
      </c>
      <c r="CJ6" t="str">
        <f>CONCATENATE("blum ",'Translate&amp;Prices&amp;Logo'!B662," 12047")</f>
        <v>blum z tłumieniem 12047</v>
      </c>
      <c r="CK6" t="str">
        <f>CONCATENATE("hettich ",'Translate&amp;Prices&amp;Logo'!B662," 300279")</f>
        <v>hettich z tłumieniem 300279</v>
      </c>
      <c r="CL6" t="str">
        <f>CONCATENATE("hettich ",'Translate&amp;Prices&amp;Logo'!B662," 104717")</f>
        <v>hettich z tłumieniem 104717</v>
      </c>
      <c r="CM6" t="str">
        <f>CONCATENATE("hettich ",'Translate&amp;Prices&amp;Logo'!B662," 300279")</f>
        <v>hettich z tłumieniem 300279</v>
      </c>
      <c r="CN6" t="str">
        <f>CONCATENATE("hettich ",'Translate&amp;Prices&amp;Logo'!B662," 104717")</f>
        <v>hettich z tłumieniem 104717</v>
      </c>
      <c r="CO6" t="str">
        <f>CONCATENATE("hettich ",'Translate&amp;Prices&amp;Logo'!B662," 300279")</f>
        <v>hettich z tłumieniem 300279</v>
      </c>
      <c r="CP6" t="str">
        <f>CONCATENATE("hettich ",'Translate&amp;Prices&amp;Logo'!B662," 104717")</f>
        <v>hettich z tłumieniem 104717</v>
      </c>
      <c r="CQ6" t="str">
        <f>CONCATENATE("hettich ",'Translate&amp;Prices&amp;Logo'!B663," 300279")</f>
        <v>hettich gorny 300279</v>
      </c>
      <c r="CR6" t="str">
        <f>CONCATENATE("hettich ",'Translate&amp;Prices&amp;Logo'!B663," 104717")</f>
        <v>hettich gorny 104717</v>
      </c>
      <c r="CS6" t="str">
        <f>CONCATENATE("hettich ",'Translate&amp;Prices&amp;Logo'!B663," 300279")</f>
        <v>hettich gorny 300279</v>
      </c>
      <c r="CT6" t="str">
        <f>CONCATENATE("hettich ",'Translate&amp;Prices&amp;Logo'!B663," 104717")</f>
        <v>hettich gorny 104717</v>
      </c>
      <c r="CU6" t="str">
        <f>CONCATENATE("hettich ",'Translate&amp;Prices&amp;Logo'!B662," 300279")</f>
        <v>hettich z tłumieniem 300279</v>
      </c>
      <c r="CV6" t="str">
        <f>CONCATENATE("hettich ",'Translate&amp;Prices&amp;Logo'!B662," 104717")</f>
        <v>hettich z tłumieniem 104717</v>
      </c>
      <c r="CW6" t="s">
        <v>1174</v>
      </c>
      <c r="CX6" t="s">
        <v>1180</v>
      </c>
      <c r="CY6" t="str">
        <f>CONCATENATE("hettich ",'Translate&amp;Prices&amp;Logo'!B662," 300279")</f>
        <v>hettich z tłumieniem 300279</v>
      </c>
      <c r="CZ6" t="str">
        <f>CONCATENATE("hettich ",'Translate&amp;Prices&amp;Logo'!B662," 104717")</f>
        <v>hettich z tłumieniem 104717</v>
      </c>
      <c r="DA6" t="s">
        <v>1174</v>
      </c>
      <c r="DB6" t="s">
        <v>1180</v>
      </c>
      <c r="DC6" t="str">
        <f>CONCATENATE("blum ",'Translate&amp;Prices&amp;Logo'!B664," 12106")</f>
        <v>blum dolny 12106</v>
      </c>
      <c r="DD6" t="str">
        <f>CONCATENATE("hettich ",'Translate&amp;Prices&amp;Logo'!B664," 232346")</f>
        <v>hettich dolny 232346</v>
      </c>
      <c r="DE6" t="str">
        <f>CONCATENATE("blum ",'Translate&amp;Prices&amp;Logo'!B664," 12106")</f>
        <v>blum dolny 12106</v>
      </c>
      <c r="DF6" t="str">
        <f>CONCATENATE("hettich ",'Translate&amp;Prices&amp;Logo'!B664," 232346")</f>
        <v>hettich dolny 232346</v>
      </c>
      <c r="DG6" t="s">
        <v>1452</v>
      </c>
      <c r="DH6" t="str">
        <f>CONCATENATE("hettich ",'Translate&amp;Prices&amp;Logo'!B662," 104717")</f>
        <v>hettich z tłumieniem 104717</v>
      </c>
      <c r="DI6" t="str">
        <f>CONCATENATE("hettich ",'Translate&amp;Prices&amp;Logo'!B662," 300279")</f>
        <v>hettich z tłumieniem 300279</v>
      </c>
      <c r="DJ6" t="str">
        <f>CONCATENATE("hettich ",'Translate&amp;Prices&amp;Logo'!B662," 104717")</f>
        <v>hettich z tłumieniem 104717</v>
      </c>
      <c r="DK6" t="str">
        <f>CONCATENATE("blum ",'Translate&amp;Prices&amp;Logo'!B664," 12106")</f>
        <v>blum dolny 12106</v>
      </c>
      <c r="DL6" t="str">
        <f>CONCATENATE("hettich ",'Translate&amp;Prices&amp;Logo'!B664," 232346")</f>
        <v>hettich dolny 232346</v>
      </c>
      <c r="DM6" t="s">
        <v>4524</v>
      </c>
      <c r="DN6" t="s">
        <v>4525</v>
      </c>
      <c r="DO6" t="s">
        <v>4524</v>
      </c>
      <c r="DP6" t="s">
        <v>4525</v>
      </c>
      <c r="DQ6" t="s">
        <v>2677</v>
      </c>
      <c r="DR6" t="s">
        <v>2679</v>
      </c>
      <c r="DS6" t="s">
        <v>2677</v>
      </c>
      <c r="DT6" t="s">
        <v>2679</v>
      </c>
      <c r="DU6" t="s">
        <v>3232</v>
      </c>
      <c r="DV6" t="s">
        <v>3233</v>
      </c>
      <c r="DW6" t="s">
        <v>3232</v>
      </c>
      <c r="DX6" t="s">
        <v>3233</v>
      </c>
      <c r="DY6" t="s">
        <v>2682</v>
      </c>
      <c r="DZ6" t="s">
        <v>2685</v>
      </c>
      <c r="EA6" t="s">
        <v>2682</v>
      </c>
      <c r="EB6" t="s">
        <v>2685</v>
      </c>
      <c r="EC6" t="s">
        <v>4350</v>
      </c>
      <c r="ED6" t="s">
        <v>4351</v>
      </c>
      <c r="EE6" t="s">
        <v>4350</v>
      </c>
      <c r="EF6" t="s">
        <v>4351</v>
      </c>
      <c r="EG6" t="s">
        <v>4352</v>
      </c>
      <c r="EH6" t="s">
        <v>4353</v>
      </c>
      <c r="EI6" t="s">
        <v>4352</v>
      </c>
      <c r="EJ6" t="s">
        <v>4353</v>
      </c>
      <c r="EK6" t="s">
        <v>3134</v>
      </c>
      <c r="EL6" t="s">
        <v>3135</v>
      </c>
      <c r="EM6" t="s">
        <v>3134</v>
      </c>
      <c r="EN6" t="s">
        <v>3135</v>
      </c>
      <c r="EO6" t="s">
        <v>3138</v>
      </c>
      <c r="EP6" t="s">
        <v>3133</v>
      </c>
      <c r="EQ6" t="s">
        <v>3138</v>
      </c>
      <c r="ER6" t="s">
        <v>3133</v>
      </c>
      <c r="ES6" t="s">
        <v>3124</v>
      </c>
      <c r="ET6" t="s">
        <v>3125</v>
      </c>
      <c r="EU6" t="s">
        <v>3124</v>
      </c>
      <c r="EV6" t="s">
        <v>3125</v>
      </c>
      <c r="EW6" t="s">
        <v>4388</v>
      </c>
      <c r="EX6" t="s">
        <v>4389</v>
      </c>
      <c r="EY6" t="s">
        <v>4388</v>
      </c>
      <c r="EZ6" t="s">
        <v>4389</v>
      </c>
    </row>
    <row r="7" spans="1:156">
      <c r="A7" s="50" t="s">
        <v>107</v>
      </c>
      <c r="B7" s="50" t="s">
        <v>1050</v>
      </c>
      <c r="C7" s="50" t="str">
        <f t="shared" si="0"/>
        <v>_Úzký ALU rámeček_FREElight</v>
      </c>
      <c r="D7" t="s">
        <v>1151</v>
      </c>
      <c r="E7" t="s">
        <v>1452</v>
      </c>
      <c r="F7" t="s">
        <v>1153</v>
      </c>
      <c r="G7" t="s">
        <v>1453</v>
      </c>
      <c r="I7" t="s">
        <v>1156</v>
      </c>
      <c r="J7" t="s">
        <v>1455</v>
      </c>
      <c r="K7" t="s">
        <v>1456</v>
      </c>
      <c r="S7" s="49"/>
      <c r="V7" t="s">
        <v>1159</v>
      </c>
      <c r="W7" t="s">
        <v>1160</v>
      </c>
      <c r="X7" s="49"/>
      <c r="AF7" s="49"/>
      <c r="BQ7" s="12" t="s">
        <v>2583</v>
      </c>
      <c r="BR7" t="s">
        <v>1070</v>
      </c>
      <c r="CG7" t="s">
        <v>2710</v>
      </c>
      <c r="CH7" t="s">
        <v>2711</v>
      </c>
      <c r="CI7" t="s">
        <v>2710</v>
      </c>
      <c r="CJ7" t="str">
        <f>CONCATENATE("blum ",'Translate&amp;Prices&amp;Logo'!B662," 12047")</f>
        <v>blum z tłumieniem 12047</v>
      </c>
      <c r="CK7" t="s">
        <v>1153</v>
      </c>
      <c r="CL7" t="s">
        <v>1163</v>
      </c>
      <c r="CM7" t="s">
        <v>1153</v>
      </c>
      <c r="CN7" t="s">
        <v>1163</v>
      </c>
      <c r="CO7" t="s">
        <v>1153</v>
      </c>
      <c r="CP7" t="s">
        <v>1163</v>
      </c>
      <c r="CQ7" t="str">
        <f>CONCATENATE("blum ",'Translate&amp;Prices&amp;Logo'!B664," 12106")</f>
        <v>blum dolny 12106</v>
      </c>
      <c r="CR7" t="str">
        <f>CONCATENATE("blum ",'Translate&amp;Prices&amp;Logo'!B664," 12052")</f>
        <v>blum dolny 12052</v>
      </c>
      <c r="CS7" t="str">
        <f>CONCATENATE("blum ",'Translate&amp;Prices&amp;Logo'!B664," 12106")</f>
        <v>blum dolny 12106</v>
      </c>
      <c r="CT7" t="str">
        <f>CONCATENATE("blum ",'Translate&amp;Prices&amp;Logo'!B664," 12052")</f>
        <v>blum dolny 12052</v>
      </c>
      <c r="CU7" t="s">
        <v>1153</v>
      </c>
      <c r="CV7" t="s">
        <v>1163</v>
      </c>
      <c r="CW7" t="s">
        <v>1177</v>
      </c>
      <c r="CX7" t="s">
        <v>1182</v>
      </c>
      <c r="CY7" t="s">
        <v>1153</v>
      </c>
      <c r="CZ7" t="s">
        <v>1163</v>
      </c>
      <c r="DA7" t="s">
        <v>1177</v>
      </c>
      <c r="DB7" t="s">
        <v>1182</v>
      </c>
      <c r="DC7" t="str">
        <f>CONCATENATE("strong ",'Translate&amp;Prices&amp;Logo'!B664," 350863")</f>
        <v>strong dolny 350863</v>
      </c>
      <c r="DD7" t="str">
        <f>CONCATENATE("blum ",'Translate&amp;Prices&amp;Logo'!B664," 12052")</f>
        <v>blum dolny 12052</v>
      </c>
      <c r="DE7" t="str">
        <f>CONCATENATE("strong ",'Translate&amp;Prices&amp;Logo'!B664," 350863")</f>
        <v>strong dolny 350863</v>
      </c>
      <c r="DF7" t="str">
        <f>CONCATENATE("blum ",'Translate&amp;Prices&amp;Logo'!B664," 12052")</f>
        <v>blum dolny 12052</v>
      </c>
      <c r="DG7" t="s">
        <v>1153</v>
      </c>
      <c r="DH7" t="s">
        <v>1163</v>
      </c>
      <c r="DI7" t="s">
        <v>1153</v>
      </c>
      <c r="DJ7" t="s">
        <v>1163</v>
      </c>
      <c r="DK7" t="str">
        <f>CONCATENATE("strong ",'Translate&amp;Prices&amp;Logo'!B664," 350863")</f>
        <v>strong dolny 350863</v>
      </c>
      <c r="DL7" t="str">
        <f>CONCATENATE("blum ",'Translate&amp;Prices&amp;Logo'!B664," 12052")</f>
        <v>blum dolny 12052</v>
      </c>
      <c r="DM7" t="s">
        <v>1163</v>
      </c>
      <c r="DN7" t="s">
        <v>1153</v>
      </c>
      <c r="DO7" t="s">
        <v>1163</v>
      </c>
      <c r="DP7" t="s">
        <v>1153</v>
      </c>
      <c r="DQ7" t="s">
        <v>2678</v>
      </c>
      <c r="DR7" t="s">
        <v>2680</v>
      </c>
      <c r="DS7" t="s">
        <v>2678</v>
      </c>
      <c r="DT7" t="s">
        <v>2680</v>
      </c>
      <c r="DU7" t="s">
        <v>3234</v>
      </c>
      <c r="DV7" t="s">
        <v>3235</v>
      </c>
      <c r="DW7" t="s">
        <v>3234</v>
      </c>
      <c r="DX7" t="s">
        <v>3235</v>
      </c>
      <c r="DY7" t="s">
        <v>1153</v>
      </c>
      <c r="DZ7" t="s">
        <v>1163</v>
      </c>
      <c r="EA7" t="s">
        <v>1153</v>
      </c>
      <c r="EB7" t="s">
        <v>1163</v>
      </c>
      <c r="EC7" t="s">
        <v>1153</v>
      </c>
      <c r="ED7" t="s">
        <v>1163</v>
      </c>
      <c r="EE7" t="s">
        <v>1153</v>
      </c>
      <c r="EF7" t="s">
        <v>1163</v>
      </c>
      <c r="EG7" t="s">
        <v>4354</v>
      </c>
      <c r="EH7" t="s">
        <v>4355</v>
      </c>
      <c r="EI7" t="s">
        <v>4354</v>
      </c>
      <c r="EJ7" t="s">
        <v>4355</v>
      </c>
      <c r="EK7" t="s">
        <v>1153</v>
      </c>
      <c r="EL7" t="s">
        <v>1163</v>
      </c>
      <c r="EM7" t="s">
        <v>1153</v>
      </c>
      <c r="EN7" t="s">
        <v>1163</v>
      </c>
      <c r="EO7" t="s">
        <v>3140</v>
      </c>
      <c r="EP7" t="s">
        <v>3139</v>
      </c>
      <c r="EQ7" t="s">
        <v>3140</v>
      </c>
      <c r="ER7" t="s">
        <v>3139</v>
      </c>
      <c r="ES7" t="s">
        <v>1153</v>
      </c>
      <c r="ET7" t="s">
        <v>1163</v>
      </c>
      <c r="EU7" t="s">
        <v>1153</v>
      </c>
      <c r="EV7" t="s">
        <v>1163</v>
      </c>
      <c r="EW7" t="s">
        <v>4390</v>
      </c>
      <c r="EX7" t="s">
        <v>4391</v>
      </c>
      <c r="EY7" t="s">
        <v>4390</v>
      </c>
      <c r="EZ7" t="s">
        <v>4391</v>
      </c>
    </row>
    <row r="8" spans="1:156">
      <c r="A8" s="50" t="s">
        <v>108</v>
      </c>
      <c r="B8" s="50" t="s">
        <v>1050</v>
      </c>
      <c r="C8" s="50" t="str">
        <f t="shared" si="0"/>
        <v>_Široký ALU rámeček_FREElight</v>
      </c>
      <c r="D8" t="s">
        <v>1161</v>
      </c>
      <c r="E8" t="s">
        <v>1457</v>
      </c>
      <c r="F8" t="s">
        <v>1163</v>
      </c>
      <c r="G8" t="s">
        <v>1458</v>
      </c>
      <c r="H8" t="s">
        <v>1165</v>
      </c>
      <c r="I8" t="s">
        <v>1459</v>
      </c>
      <c r="S8" s="49"/>
      <c r="V8" t="s">
        <v>1167</v>
      </c>
      <c r="W8" t="s">
        <v>1168</v>
      </c>
      <c r="X8" s="49"/>
      <c r="AF8" s="49"/>
      <c r="CG8" t="s">
        <v>2710</v>
      </c>
      <c r="CH8" t="s">
        <v>2711</v>
      </c>
      <c r="CI8" t="s">
        <v>2710</v>
      </c>
      <c r="CJ8" t="str">
        <f>CONCATENATE("blum ",'Translate&amp;Prices&amp;Logo'!B662," 12047")</f>
        <v>blum z tłumieniem 12047</v>
      </c>
      <c r="CK8" t="s">
        <v>1156</v>
      </c>
      <c r="CL8" t="str">
        <f>CONCATENATE("blum ",'Translate&amp;Prices&amp;Logo'!B662," 12047")</f>
        <v>blum z tłumieniem 12047</v>
      </c>
      <c r="CM8" t="s">
        <v>1156</v>
      </c>
      <c r="CN8" t="str">
        <f>CONCATENATE("blum ",'Translate&amp;Prices&amp;Logo'!B662," 12047")</f>
        <v>blum z tłumieniem 12047</v>
      </c>
      <c r="CO8" t="s">
        <v>1156</v>
      </c>
      <c r="CP8" t="str">
        <f>CONCATENATE("blum ",'Translate&amp;Prices&amp;Logo'!B662," 12047")</f>
        <v>blum z tłumieniem 12047</v>
      </c>
      <c r="CQ8" t="str">
        <f>CONCATENATE("strong ",'Translate&amp;Prices&amp;Logo'!B664," 350863")</f>
        <v>strong dolny 350863</v>
      </c>
      <c r="CR8" t="str">
        <f>CONCATENATE("blum ",'Translate&amp;Prices&amp;Logo'!B663," 12047")</f>
        <v>blum gorny 12047</v>
      </c>
      <c r="CS8" t="str">
        <f>CONCATENATE("strong ",'Translate&amp;Prices&amp;Logo'!B664," 350863")</f>
        <v>strong dolny 350863</v>
      </c>
      <c r="CT8" t="str">
        <f>CONCATENATE("blum ",'Translate&amp;Prices&amp;Logo'!B663," 12047")</f>
        <v>blum gorny 12047</v>
      </c>
      <c r="CU8" t="s">
        <v>1156</v>
      </c>
      <c r="CV8" t="str">
        <f>CONCATENATE("blum ",'Translate&amp;Prices&amp;Logo'!B662," 12047")</f>
        <v>blum z tłumieniem 12047</v>
      </c>
      <c r="CW8" t="s">
        <v>1177</v>
      </c>
      <c r="CX8" t="s">
        <v>1184</v>
      </c>
      <c r="CY8" t="s">
        <v>1156</v>
      </c>
      <c r="CZ8" t="str">
        <f>CONCATENATE("blum ",'Translate&amp;Prices&amp;Logo'!B662," 12047")</f>
        <v>blum z tłumieniem 12047</v>
      </c>
      <c r="DA8" t="s">
        <v>1177</v>
      </c>
      <c r="DB8" t="s">
        <v>1184</v>
      </c>
      <c r="DC8" t="str">
        <f>CONCATENATE("strong ",'Translate&amp;Prices&amp;Logo'!B664," 350863")</f>
        <v>strong dolny 350863</v>
      </c>
      <c r="DD8" t="str">
        <f>CONCATENATE("strong ",'Translate&amp;Prices&amp;Logo'!B664," 350834")</f>
        <v>strong dolny 350834</v>
      </c>
      <c r="DE8" t="str">
        <f>CONCATENATE("strong ",'Translate&amp;Prices&amp;Logo'!B664," 350863")</f>
        <v>strong dolny 350863</v>
      </c>
      <c r="DF8" t="str">
        <f>CONCATENATE("strong ",'Translate&amp;Prices&amp;Logo'!B664," 350834")</f>
        <v>strong dolny 350834</v>
      </c>
      <c r="DG8" t="s">
        <v>1156</v>
      </c>
      <c r="DH8" t="str">
        <f>CONCATENATE("blum ",'Translate&amp;Prices&amp;Logo'!B662," 12047")</f>
        <v>blum z tłumieniem 12047</v>
      </c>
      <c r="DI8" t="s">
        <v>1156</v>
      </c>
      <c r="DJ8" t="str">
        <f>CONCATENATE("blum ",'Translate&amp;Prices&amp;Logo'!B662," 12047")</f>
        <v>blum z tłumieniem 12047</v>
      </c>
      <c r="DK8" t="str">
        <f>CONCATENATE("strong ",'Translate&amp;Prices&amp;Logo'!B664," 350863")</f>
        <v>strong dolny 350863</v>
      </c>
      <c r="DL8" t="str">
        <f>CONCATENATE("strong ",'Translate&amp;Prices&amp;Logo'!B664," 350834")</f>
        <v>strong dolny 350834</v>
      </c>
      <c r="DM8" t="s">
        <v>4526</v>
      </c>
      <c r="DN8" t="s">
        <v>1156</v>
      </c>
      <c r="DO8" t="s">
        <v>4526</v>
      </c>
      <c r="DP8" t="s">
        <v>1156</v>
      </c>
      <c r="DR8" t="s">
        <v>2681</v>
      </c>
      <c r="DS8" t="s">
        <v>2678</v>
      </c>
      <c r="DT8" t="s">
        <v>2681</v>
      </c>
      <c r="DU8" t="s">
        <v>3234</v>
      </c>
      <c r="DV8" t="s">
        <v>3236</v>
      </c>
      <c r="DW8" t="s">
        <v>3234</v>
      </c>
      <c r="DX8" t="s">
        <v>3236</v>
      </c>
      <c r="DY8" t="s">
        <v>1156</v>
      </c>
      <c r="DZ8" t="s">
        <v>2686</v>
      </c>
      <c r="EA8" t="s">
        <v>1156</v>
      </c>
      <c r="EB8" t="s">
        <v>2686</v>
      </c>
      <c r="EC8" t="s">
        <v>1156</v>
      </c>
      <c r="ED8" t="s">
        <v>4356</v>
      </c>
      <c r="EE8" t="s">
        <v>1156</v>
      </c>
      <c r="EF8" t="s">
        <v>4356</v>
      </c>
      <c r="EG8" t="s">
        <v>4354</v>
      </c>
      <c r="EH8" t="s">
        <v>4357</v>
      </c>
      <c r="EI8" t="s">
        <v>4354</v>
      </c>
      <c r="EJ8" t="s">
        <v>4357</v>
      </c>
      <c r="EK8" t="s">
        <v>1156</v>
      </c>
      <c r="EL8" t="s">
        <v>3131</v>
      </c>
      <c r="EM8" t="s">
        <v>1156</v>
      </c>
      <c r="EN8" t="s">
        <v>3131</v>
      </c>
      <c r="EO8" t="s">
        <v>3140</v>
      </c>
      <c r="EP8" t="s">
        <v>3142</v>
      </c>
      <c r="EQ8" t="s">
        <v>3140</v>
      </c>
      <c r="ER8" t="s">
        <v>3142</v>
      </c>
      <c r="ES8" t="s">
        <v>1156</v>
      </c>
      <c r="ET8" t="s">
        <v>3123</v>
      </c>
      <c r="EU8" t="s">
        <v>1156</v>
      </c>
      <c r="EV8" t="s">
        <v>3123</v>
      </c>
      <c r="EW8" t="s">
        <v>4390</v>
      </c>
      <c r="EX8" t="s">
        <v>4392</v>
      </c>
      <c r="EY8" t="s">
        <v>4390</v>
      </c>
      <c r="EZ8" t="s">
        <v>4392</v>
      </c>
    </row>
    <row r="9" spans="1:156">
      <c r="A9" s="53" t="s">
        <v>107</v>
      </c>
      <c r="B9" s="53" t="s">
        <v>1053</v>
      </c>
      <c r="C9" s="53" t="str">
        <f t="shared" si="0"/>
        <v>_Úzký ALU rámeček_FREEfold</v>
      </c>
      <c r="D9" t="s">
        <v>1151</v>
      </c>
      <c r="E9" t="s">
        <v>1452</v>
      </c>
      <c r="F9" t="s">
        <v>1153</v>
      </c>
      <c r="G9" t="s">
        <v>1453</v>
      </c>
      <c r="I9" t="s">
        <v>1156</v>
      </c>
      <c r="J9" t="s">
        <v>1455</v>
      </c>
      <c r="K9" t="s">
        <v>1456</v>
      </c>
      <c r="S9" s="49"/>
      <c r="V9" t="s">
        <v>1169</v>
      </c>
      <c r="W9" t="s">
        <v>1147</v>
      </c>
      <c r="X9" s="49"/>
      <c r="AF9" s="49"/>
      <c r="CG9" t="s">
        <v>2710</v>
      </c>
      <c r="CH9" t="s">
        <v>2711</v>
      </c>
      <c r="CI9" t="s">
        <v>2710</v>
      </c>
      <c r="CJ9" t="str">
        <f>CONCATENATE("blum ",'Translate&amp;Prices&amp;Logo'!B662," 12047")</f>
        <v>blum z tłumieniem 12047</v>
      </c>
      <c r="CK9" t="str">
        <f>CONCATENATE("strong ",'Translate&amp;Prices&amp;Logo'!B662," 350863")</f>
        <v>strong z tłumieniem 350863</v>
      </c>
      <c r="CL9" t="s">
        <v>1165</v>
      </c>
      <c r="CM9" t="str">
        <f>CONCATENATE("strong ",'Translate&amp;Prices&amp;Logo'!B662," 350863")</f>
        <v>strong z tłumieniem 350863</v>
      </c>
      <c r="CN9" t="s">
        <v>1165</v>
      </c>
      <c r="CO9" t="str">
        <f>CONCATENATE("strong ",'Translate&amp;Prices&amp;Logo'!B662," 350863")</f>
        <v>strong z tłumieniem 350863</v>
      </c>
      <c r="CP9" t="s">
        <v>1165</v>
      </c>
      <c r="CQ9" t="str">
        <f>CONCATENATE("strong ",'Translate&amp;Prices&amp;Logo'!B663," 350863")</f>
        <v>strong gorny 350863</v>
      </c>
      <c r="CR9" t="str">
        <f>CONCATENATE("strong ",'Translate&amp;Prices&amp;Logo'!B664," 350834")</f>
        <v>strong dolny 350834</v>
      </c>
      <c r="CS9" t="str">
        <f>CONCATENATE("strong ",'Translate&amp;Prices&amp;Logo'!B663," 350863")</f>
        <v>strong gorny 350863</v>
      </c>
      <c r="CT9" t="str">
        <f>CONCATENATE("strong ",'Translate&amp;Prices&amp;Logo'!B664," 350834")</f>
        <v>strong dolny 350834</v>
      </c>
      <c r="CU9" t="str">
        <f>CONCATENATE("strong ",'Translate&amp;Prices&amp;Logo'!B662," 350863")</f>
        <v>strong z tłumieniem 350863</v>
      </c>
      <c r="CV9" t="s">
        <v>1165</v>
      </c>
      <c r="CW9" t="s">
        <v>1177</v>
      </c>
      <c r="CX9" t="s">
        <v>1184</v>
      </c>
      <c r="CY9" t="str">
        <f>CONCATENATE("strong ",'Translate&amp;Prices&amp;Logo'!B662," 350863")</f>
        <v>strong z tłumieniem 350863</v>
      </c>
      <c r="CZ9" t="s">
        <v>1165</v>
      </c>
      <c r="DA9" t="s">
        <v>1177</v>
      </c>
      <c r="DB9" t="s">
        <v>1184</v>
      </c>
      <c r="DC9" t="str">
        <f>CONCATENATE("strong ",'Translate&amp;Prices&amp;Logo'!B664," 350863")</f>
        <v>strong dolny 350863</v>
      </c>
      <c r="DD9" t="str">
        <f>CONCATENATE("strong ",'Translate&amp;Prices&amp;Logo'!B664," 350834")</f>
        <v>strong dolny 350834</v>
      </c>
      <c r="DE9" t="str">
        <f>CONCATENATE("strong ",'Translate&amp;Prices&amp;Logo'!B664," 350863")</f>
        <v>strong dolny 350863</v>
      </c>
      <c r="DF9" t="str">
        <f>CONCATENATE("strong ",'Translate&amp;Prices&amp;Logo'!B664," 350834")</f>
        <v>strong dolny 350834</v>
      </c>
      <c r="DG9" t="s">
        <v>1455</v>
      </c>
      <c r="DH9" t="s">
        <v>1165</v>
      </c>
      <c r="DI9" t="str">
        <f>CONCATENATE("strong ",'Translate&amp;Prices&amp;Logo'!B662," 350863")</f>
        <v>strong z tłumieniem 350863</v>
      </c>
      <c r="DJ9" t="s">
        <v>1165</v>
      </c>
      <c r="DK9" t="str">
        <f>CONCATENATE("strong ",'Translate&amp;Prices&amp;Logo'!B664," 350863")</f>
        <v>strong dolny 350863</v>
      </c>
      <c r="DL9" t="str">
        <f>CONCATENATE("strong ",'Translate&amp;Prices&amp;Logo'!B664," 350834")</f>
        <v>strong dolny 350834</v>
      </c>
      <c r="DM9" t="s">
        <v>1165</v>
      </c>
      <c r="DN9" t="s">
        <v>4527</v>
      </c>
      <c r="DO9" t="s">
        <v>1165</v>
      </c>
      <c r="DP9" t="s">
        <v>4527</v>
      </c>
      <c r="DR9" t="s">
        <v>2681</v>
      </c>
      <c r="DS9" t="s">
        <v>2678</v>
      </c>
      <c r="DT9" t="s">
        <v>2681</v>
      </c>
      <c r="DU9" t="s">
        <v>3234</v>
      </c>
      <c r="DV9" t="s">
        <v>3236</v>
      </c>
      <c r="DW9" t="s">
        <v>3234</v>
      </c>
      <c r="DX9" t="s">
        <v>3236</v>
      </c>
      <c r="DY9" t="s">
        <v>2683</v>
      </c>
      <c r="DZ9" t="s">
        <v>1165</v>
      </c>
      <c r="EA9" t="s">
        <v>2683</v>
      </c>
      <c r="EB9" t="s">
        <v>1165</v>
      </c>
      <c r="EC9" t="s">
        <v>4358</v>
      </c>
      <c r="ED9" t="s">
        <v>1165</v>
      </c>
      <c r="EE9" t="s">
        <v>4358</v>
      </c>
      <c r="EF9" t="s">
        <v>1165</v>
      </c>
      <c r="EG9" t="s">
        <v>4354</v>
      </c>
      <c r="EH9" t="s">
        <v>4357</v>
      </c>
      <c r="EI9" t="s">
        <v>4354</v>
      </c>
      <c r="EJ9" t="s">
        <v>4357</v>
      </c>
      <c r="EK9" t="s">
        <v>3143</v>
      </c>
      <c r="EL9" t="s">
        <v>1165</v>
      </c>
      <c r="EM9" t="s">
        <v>3143</v>
      </c>
      <c r="EN9" t="s">
        <v>1165</v>
      </c>
      <c r="EO9" t="s">
        <v>3140</v>
      </c>
      <c r="EP9" t="s">
        <v>3142</v>
      </c>
      <c r="EQ9" t="s">
        <v>3140</v>
      </c>
      <c r="ER9" t="s">
        <v>3142</v>
      </c>
      <c r="ES9" t="s">
        <v>3126</v>
      </c>
      <c r="ET9" t="s">
        <v>1165</v>
      </c>
      <c r="EU9" t="s">
        <v>3126</v>
      </c>
      <c r="EV9" t="s">
        <v>1165</v>
      </c>
      <c r="EW9" t="s">
        <v>4390</v>
      </c>
      <c r="EX9" t="s">
        <v>4392</v>
      </c>
      <c r="EY9" t="s">
        <v>4390</v>
      </c>
      <c r="EZ9" t="s">
        <v>4392</v>
      </c>
    </row>
    <row r="10" spans="1:156">
      <c r="A10" s="53" t="s">
        <v>108</v>
      </c>
      <c r="B10" s="53" t="s">
        <v>1053</v>
      </c>
      <c r="C10" s="53" t="str">
        <f t="shared" si="0"/>
        <v>_Široký ALU rámeček_FREEfold</v>
      </c>
      <c r="D10" t="s">
        <v>1161</v>
      </c>
      <c r="E10" t="s">
        <v>1457</v>
      </c>
      <c r="F10" t="s">
        <v>1163</v>
      </c>
      <c r="G10" t="s">
        <v>1458</v>
      </c>
      <c r="H10" t="s">
        <v>1165</v>
      </c>
      <c r="I10" t="s">
        <v>1459</v>
      </c>
      <c r="S10" s="49"/>
      <c r="W10" t="s">
        <v>1170</v>
      </c>
      <c r="X10" s="49"/>
      <c r="AF10" s="49"/>
      <c r="CG10" t="s">
        <v>2710</v>
      </c>
      <c r="CH10" t="s">
        <v>2711</v>
      </c>
      <c r="CI10" t="s">
        <v>2710</v>
      </c>
      <c r="CJ10" t="str">
        <f>CONCATENATE("blum ",'Translate&amp;Prices&amp;Logo'!B662," 12047")</f>
        <v>blum z tłumieniem 12047</v>
      </c>
      <c r="CK10" t="str">
        <f>CONCATENATE("strong ",'Translate&amp;Prices&amp;Logo'!B662," 92584T")</f>
        <v>strong z tłumieniem 92584T</v>
      </c>
      <c r="CL10" t="str">
        <f>CONCATENATE("strong ",'Translate&amp;Prices&amp;Logo'!B662," 350827")</f>
        <v>strong z tłumieniem 350827</v>
      </c>
      <c r="CM10" t="str">
        <f>CONCATENATE("strong ",'Translate&amp;Prices&amp;Logo'!B662," 92584T")</f>
        <v>strong z tłumieniem 92584T</v>
      </c>
      <c r="CN10" t="str">
        <f>CONCATENATE("strong ",'Translate&amp;Prices&amp;Logo'!B662," 350827")</f>
        <v>strong z tłumieniem 350827</v>
      </c>
      <c r="CO10" t="str">
        <f>CONCATENATE("strong ",'Translate&amp;Prices&amp;Logo'!B662," 92584T")</f>
        <v>strong z tłumieniem 92584T</v>
      </c>
      <c r="CP10" t="str">
        <f>CONCATENATE("strong ",'Translate&amp;Prices&amp;Logo'!B662," 350827")</f>
        <v>strong z tłumieniem 350827</v>
      </c>
      <c r="CQ10" t="str">
        <f>CONCATENATE("strong ",'Translate&amp;Prices&amp;Logo'!B663," 92584T")</f>
        <v>strong gorny 92584T</v>
      </c>
      <c r="CR10" t="str">
        <f>CONCATENATE("strong ",'Translate&amp;Prices&amp;Logo'!B663," 350827")</f>
        <v>strong gorny 350827</v>
      </c>
      <c r="CS10" t="str">
        <f>CONCATENATE("strong ",'Translate&amp;Prices&amp;Logo'!B663," 92584T")</f>
        <v>strong gorny 92584T</v>
      </c>
      <c r="CT10" t="str">
        <f>CONCATENATE("strong ",'Translate&amp;Prices&amp;Logo'!B663," 350827")</f>
        <v>strong gorny 350827</v>
      </c>
      <c r="CU10" t="str">
        <f>CONCATENATE("strong ",'Translate&amp;Prices&amp;Logo'!B662," 92584T")</f>
        <v>strong z tłumieniem 92584T</v>
      </c>
      <c r="CV10" t="str">
        <f>CONCATENATE("strong ",'Translate&amp;Prices&amp;Logo'!B662," 350827")</f>
        <v>strong z tłumieniem 350827</v>
      </c>
      <c r="CW10" t="s">
        <v>1177</v>
      </c>
      <c r="CX10" t="s">
        <v>1184</v>
      </c>
      <c r="CY10" t="str">
        <f>CONCATENATE("strong ",'Translate&amp;Prices&amp;Logo'!B662," 92584T")</f>
        <v>strong z tłumieniem 92584T</v>
      </c>
      <c r="CZ10" t="str">
        <f>CONCATENATE("strong ",'Translate&amp;Prices&amp;Logo'!B662," 350827")</f>
        <v>strong z tłumieniem 350827</v>
      </c>
      <c r="DA10" t="s">
        <v>1177</v>
      </c>
      <c r="DB10" t="s">
        <v>1184</v>
      </c>
      <c r="DC10" t="str">
        <f>CONCATENATE("strong ",'Translate&amp;Prices&amp;Logo'!B664," 350863")</f>
        <v>strong dolny 350863</v>
      </c>
      <c r="DD10" t="str">
        <f>CONCATENATE("strong ",'Translate&amp;Prices&amp;Logo'!B664," 350834")</f>
        <v>strong dolny 350834</v>
      </c>
      <c r="DE10" t="str">
        <f>CONCATENATE("strong ",'Translate&amp;Prices&amp;Logo'!B664," 350863")</f>
        <v>strong dolny 350863</v>
      </c>
      <c r="DF10" t="str">
        <f>CONCATENATE("strong ",'Translate&amp;Prices&amp;Logo'!B664," 350834")</f>
        <v>strong dolny 350834</v>
      </c>
      <c r="DG10" t="s">
        <v>1456</v>
      </c>
      <c r="DH10" t="str">
        <f>CONCATENATE("strong ",'Translate&amp;Prices&amp;Logo'!B662," 350827")</f>
        <v>strong z tłumieniem 350827</v>
      </c>
      <c r="DI10" t="str">
        <f>CONCATENATE("strong ",'Translate&amp;Prices&amp;Logo'!B662," 92584T")</f>
        <v>strong z tłumieniem 92584T</v>
      </c>
      <c r="DJ10" t="str">
        <f>CONCATENATE("strong ",'Translate&amp;Prices&amp;Logo'!B662," 350827")</f>
        <v>strong z tłumieniem 350827</v>
      </c>
      <c r="DK10" t="str">
        <f>CONCATENATE("strong ",'Translate&amp;Prices&amp;Logo'!B664," 350863")</f>
        <v>strong dolny 350863</v>
      </c>
      <c r="DL10" t="str">
        <f>CONCATENATE("strong ",'Translate&amp;Prices&amp;Logo'!B664," 350834")</f>
        <v>strong dolny 350834</v>
      </c>
      <c r="DM10" t="s">
        <v>4528</v>
      </c>
      <c r="DN10" t="s">
        <v>4529</v>
      </c>
      <c r="DO10" t="s">
        <v>4528</v>
      </c>
      <c r="DP10" t="s">
        <v>4529</v>
      </c>
      <c r="DR10" t="s">
        <v>2681</v>
      </c>
      <c r="DS10" t="s">
        <v>2678</v>
      </c>
      <c r="DT10" t="s">
        <v>2681</v>
      </c>
      <c r="DU10" t="s">
        <v>3234</v>
      </c>
      <c r="DV10" t="s">
        <v>3236</v>
      </c>
      <c r="DW10" t="s">
        <v>3234</v>
      </c>
      <c r="DX10" t="s">
        <v>3236</v>
      </c>
      <c r="DY10" t="s">
        <v>2684</v>
      </c>
      <c r="DZ10" t="s">
        <v>2687</v>
      </c>
      <c r="EA10" t="s">
        <v>2684</v>
      </c>
      <c r="EB10" t="s">
        <v>2687</v>
      </c>
      <c r="EC10" t="s">
        <v>4359</v>
      </c>
      <c r="ED10" t="s">
        <v>4360</v>
      </c>
      <c r="EE10" t="s">
        <v>4359</v>
      </c>
      <c r="EF10" t="s">
        <v>4360</v>
      </c>
      <c r="EG10" t="s">
        <v>4354</v>
      </c>
      <c r="EH10" t="s">
        <v>4357</v>
      </c>
      <c r="EI10" t="s">
        <v>4354</v>
      </c>
      <c r="EJ10" t="s">
        <v>4357</v>
      </c>
      <c r="EK10" t="s">
        <v>3145</v>
      </c>
      <c r="EL10" t="s">
        <v>3146</v>
      </c>
      <c r="EM10" t="s">
        <v>3145</v>
      </c>
      <c r="EN10" t="s">
        <v>3146</v>
      </c>
      <c r="EO10" t="s">
        <v>3140</v>
      </c>
      <c r="EP10" t="s">
        <v>3142</v>
      </c>
      <c r="EQ10" t="s">
        <v>3140</v>
      </c>
      <c r="ER10" t="s">
        <v>3142</v>
      </c>
      <c r="ES10" t="s">
        <v>3127</v>
      </c>
      <c r="ET10" t="s">
        <v>3128</v>
      </c>
      <c r="EU10" t="s">
        <v>3127</v>
      </c>
      <c r="EV10" t="s">
        <v>3128</v>
      </c>
      <c r="EW10" t="s">
        <v>4390</v>
      </c>
      <c r="EX10" t="s">
        <v>4392</v>
      </c>
      <c r="EY10" t="s">
        <v>4390</v>
      </c>
      <c r="EZ10" t="s">
        <v>4392</v>
      </c>
    </row>
    <row r="11" spans="1:156">
      <c r="A11" s="50" t="s">
        <v>107</v>
      </c>
      <c r="B11" s="50" t="s">
        <v>1060</v>
      </c>
      <c r="C11" s="50" t="str">
        <f t="shared" si="0"/>
        <v>_Úzký ALU rámeček_Maxi</v>
      </c>
      <c r="D11" t="s">
        <v>1151</v>
      </c>
      <c r="E11" t="s">
        <v>1452</v>
      </c>
      <c r="F11" t="s">
        <v>1153</v>
      </c>
      <c r="G11" t="s">
        <v>1453</v>
      </c>
      <c r="I11" t="s">
        <v>1156</v>
      </c>
      <c r="J11" t="s">
        <v>1455</v>
      </c>
      <c r="K11" t="s">
        <v>1456</v>
      </c>
      <c r="S11" s="49"/>
      <c r="W11" t="s">
        <v>1171</v>
      </c>
      <c r="X11" s="49"/>
      <c r="AF11" s="49"/>
    </row>
    <row r="12" spans="1:156">
      <c r="A12" s="50" t="s">
        <v>108</v>
      </c>
      <c r="B12" s="50" t="s">
        <v>1060</v>
      </c>
      <c r="C12" s="50" t="str">
        <f t="shared" si="0"/>
        <v>_Široký ALU rámeček_Maxi</v>
      </c>
      <c r="D12" t="s">
        <v>1161</v>
      </c>
      <c r="E12" t="s">
        <v>1457</v>
      </c>
      <c r="F12" t="s">
        <v>1163</v>
      </c>
      <c r="G12" t="s">
        <v>1458</v>
      </c>
      <c r="H12" t="s">
        <v>1165</v>
      </c>
      <c r="I12" t="s">
        <v>1459</v>
      </c>
      <c r="S12" s="49"/>
      <c r="T12">
        <v>2</v>
      </c>
      <c r="U12" t="s">
        <v>2</v>
      </c>
      <c r="V12" t="s">
        <v>1134</v>
      </c>
      <c r="W12" t="s">
        <v>1135</v>
      </c>
      <c r="X12" s="49"/>
      <c r="AF12" s="49"/>
    </row>
    <row r="13" spans="1:156">
      <c r="A13" s="53" t="s">
        <v>107</v>
      </c>
      <c r="B13" s="53" t="s">
        <v>1058</v>
      </c>
      <c r="C13" s="53" t="str">
        <f t="shared" si="0"/>
        <v>_Úzký ALU rámeček_Duo Forte</v>
      </c>
      <c r="D13" t="s">
        <v>1172</v>
      </c>
      <c r="E13" t="s">
        <v>1173</v>
      </c>
      <c r="F13" t="s">
        <v>1174</v>
      </c>
      <c r="G13" t="s">
        <v>1175</v>
      </c>
      <c r="I13" t="s">
        <v>1177</v>
      </c>
      <c r="J13" t="s">
        <v>1178</v>
      </c>
      <c r="K13" t="s">
        <v>1179</v>
      </c>
      <c r="S13" s="49"/>
      <c r="V13" t="s">
        <v>1141</v>
      </c>
      <c r="W13" t="s">
        <v>1142</v>
      </c>
      <c r="X13" s="49"/>
      <c r="AF13" s="49"/>
    </row>
    <row r="14" spans="1:156">
      <c r="A14" s="53" t="s">
        <v>108</v>
      </c>
      <c r="B14" s="53" t="s">
        <v>1058</v>
      </c>
      <c r="C14" s="53" t="str">
        <f t="shared" si="0"/>
        <v>_Široký ALU rámeček_Duo Forte</v>
      </c>
      <c r="D14" t="s">
        <v>1180</v>
      </c>
      <c r="E14" t="s">
        <v>1181</v>
      </c>
      <c r="F14" t="s">
        <v>1182</v>
      </c>
      <c r="G14" t="s">
        <v>1183</v>
      </c>
      <c r="H14" t="s">
        <v>1184</v>
      </c>
      <c r="I14" t="s">
        <v>1185</v>
      </c>
      <c r="S14" s="49"/>
      <c r="V14" t="s">
        <v>1146</v>
      </c>
      <c r="W14" t="s">
        <v>1147</v>
      </c>
      <c r="X14" s="49"/>
      <c r="AF14" s="49"/>
    </row>
    <row r="15" spans="1:156">
      <c r="A15" s="50" t="s">
        <v>107</v>
      </c>
      <c r="B15" s="50" t="s">
        <v>1055</v>
      </c>
      <c r="C15" s="50" t="str">
        <f t="shared" si="0"/>
        <v>_Úzký ALU rámeček_Duo</v>
      </c>
      <c r="D15" t="s">
        <v>1172</v>
      </c>
      <c r="E15" t="s">
        <v>1173</v>
      </c>
      <c r="F15" t="s">
        <v>1174</v>
      </c>
      <c r="G15" t="s">
        <v>1175</v>
      </c>
      <c r="I15" t="s">
        <v>1177</v>
      </c>
      <c r="J15" t="s">
        <v>1178</v>
      </c>
      <c r="K15" t="s">
        <v>1179</v>
      </c>
      <c r="S15" s="49"/>
      <c r="V15" t="s">
        <v>1147</v>
      </c>
      <c r="W15" t="s">
        <v>1150</v>
      </c>
      <c r="X15" s="49"/>
      <c r="AF15" s="49"/>
    </row>
    <row r="16" spans="1:156">
      <c r="A16" s="50" t="s">
        <v>108</v>
      </c>
      <c r="B16" s="50" t="s">
        <v>1055</v>
      </c>
      <c r="C16" s="50" t="str">
        <f t="shared" si="0"/>
        <v>_Široký ALU rámeček_Duo</v>
      </c>
      <c r="D16" t="s">
        <v>1180</v>
      </c>
      <c r="E16" t="s">
        <v>1181</v>
      </c>
      <c r="F16" t="s">
        <v>1182</v>
      </c>
      <c r="G16" t="s">
        <v>1183</v>
      </c>
      <c r="H16" t="s">
        <v>1184</v>
      </c>
      <c r="I16" t="s">
        <v>1185</v>
      </c>
      <c r="S16" s="49"/>
      <c r="V16" t="s">
        <v>1159</v>
      </c>
      <c r="W16" t="s">
        <v>1160</v>
      </c>
      <c r="X16" s="49"/>
      <c r="AF16" s="49"/>
    </row>
    <row r="17" spans="1:32">
      <c r="A17" s="53" t="s">
        <v>107</v>
      </c>
      <c r="B17" s="53" t="s">
        <v>1061</v>
      </c>
      <c r="C17" s="53" t="str">
        <f t="shared" si="0"/>
        <v>_Úzký ALU rámeček_K12</v>
      </c>
      <c r="D17" t="s">
        <v>1151</v>
      </c>
      <c r="E17" t="s">
        <v>1452</v>
      </c>
      <c r="F17" t="s">
        <v>1153</v>
      </c>
      <c r="G17" t="s">
        <v>1453</v>
      </c>
      <c r="I17" t="s">
        <v>1156</v>
      </c>
      <c r="J17" t="s">
        <v>1455</v>
      </c>
      <c r="K17" t="s">
        <v>1456</v>
      </c>
      <c r="S17" s="49"/>
      <c r="V17" t="s">
        <v>1167</v>
      </c>
      <c r="W17" t="s">
        <v>1168</v>
      </c>
      <c r="X17" s="49"/>
      <c r="AF17" s="49"/>
    </row>
    <row r="18" spans="1:32">
      <c r="A18" s="53" t="s">
        <v>108</v>
      </c>
      <c r="B18" s="53" t="s">
        <v>1061</v>
      </c>
      <c r="C18" s="53" t="str">
        <f t="shared" si="0"/>
        <v>_Široký ALU rámeček_K12</v>
      </c>
      <c r="D18" t="s">
        <v>1161</v>
      </c>
      <c r="E18" t="s">
        <v>1457</v>
      </c>
      <c r="F18" t="s">
        <v>1163</v>
      </c>
      <c r="G18" t="s">
        <v>1458</v>
      </c>
      <c r="H18" t="s">
        <v>1165</v>
      </c>
      <c r="I18" t="s">
        <v>1459</v>
      </c>
      <c r="S18" s="49"/>
      <c r="V18" t="s">
        <v>1169</v>
      </c>
      <c r="W18" t="s">
        <v>1147</v>
      </c>
      <c r="X18" s="49"/>
      <c r="AF18" s="49"/>
    </row>
    <row r="19" spans="1:32">
      <c r="A19" s="50" t="s">
        <v>107</v>
      </c>
      <c r="B19" s="50" t="s">
        <v>1063</v>
      </c>
      <c r="C19" s="50" t="str">
        <f t="shared" si="0"/>
        <v>_Úzký ALU rámeček_Spodní K12</v>
      </c>
      <c r="D19" t="s">
        <v>1172</v>
      </c>
      <c r="E19" t="s">
        <v>1174</v>
      </c>
      <c r="F19" t="s">
        <v>1177</v>
      </c>
      <c r="S19" s="49"/>
      <c r="W19" t="s">
        <v>1170</v>
      </c>
      <c r="X19" s="49"/>
      <c r="AF19" s="49"/>
    </row>
    <row r="20" spans="1:32">
      <c r="A20" s="50" t="s">
        <v>108</v>
      </c>
      <c r="B20" s="50" t="s">
        <v>1063</v>
      </c>
      <c r="C20" s="50" t="str">
        <f t="shared" si="0"/>
        <v>_Široký ALU rámeček_Spodní K12</v>
      </c>
      <c r="D20" t="s">
        <v>1186</v>
      </c>
      <c r="E20" t="s">
        <v>1180</v>
      </c>
      <c r="F20" t="s">
        <v>1182</v>
      </c>
      <c r="G20" t="s">
        <v>1184</v>
      </c>
      <c r="S20" s="49"/>
      <c r="W20" t="s">
        <v>1171</v>
      </c>
      <c r="X20" s="49"/>
      <c r="AF20" s="49"/>
    </row>
    <row r="21" spans="1:32">
      <c r="A21" s="53" t="s">
        <v>107</v>
      </c>
      <c r="B21" s="53" t="s">
        <v>1064</v>
      </c>
      <c r="C21" s="53" t="str">
        <f t="shared" si="0"/>
        <v>_Úzký ALU rámeček_Kraby</v>
      </c>
      <c r="D21" t="s">
        <v>1151</v>
      </c>
      <c r="E21" t="s">
        <v>1452</v>
      </c>
      <c r="F21" t="s">
        <v>1153</v>
      </c>
      <c r="G21" t="s">
        <v>1453</v>
      </c>
      <c r="I21" t="s">
        <v>1156</v>
      </c>
      <c r="J21" t="s">
        <v>1455</v>
      </c>
      <c r="K21" t="s">
        <v>1456</v>
      </c>
      <c r="S21" s="49"/>
      <c r="T21">
        <v>1</v>
      </c>
      <c r="U21" t="s">
        <v>578</v>
      </c>
      <c r="V21" t="s">
        <v>1134</v>
      </c>
      <c r="W21" t="s">
        <v>1135</v>
      </c>
      <c r="X21" s="49"/>
      <c r="AF21" s="49"/>
    </row>
    <row r="22" spans="1:32">
      <c r="A22" s="53" t="s">
        <v>108</v>
      </c>
      <c r="B22" s="53" t="s">
        <v>1064</v>
      </c>
      <c r="C22" s="53" t="str">
        <f t="shared" si="0"/>
        <v>_Široký ALU rámeček_Kraby</v>
      </c>
      <c r="D22" t="s">
        <v>1161</v>
      </c>
      <c r="E22" t="s">
        <v>1457</v>
      </c>
      <c r="F22" t="s">
        <v>1163</v>
      </c>
      <c r="G22" t="s">
        <v>1458</v>
      </c>
      <c r="H22" t="s">
        <v>1165</v>
      </c>
      <c r="I22" t="s">
        <v>1459</v>
      </c>
      <c r="S22" s="49"/>
      <c r="V22" t="s">
        <v>1141</v>
      </c>
      <c r="W22" t="s">
        <v>1142</v>
      </c>
      <c r="X22" s="49"/>
      <c r="AF22" s="49"/>
    </row>
    <row r="23" spans="1:32">
      <c r="A23" s="50" t="s">
        <v>107</v>
      </c>
      <c r="B23" s="50" t="s">
        <v>1065</v>
      </c>
      <c r="C23" s="50" t="str">
        <f t="shared" si="0"/>
        <v>_Úzký ALU rámeček_Spodní Kraby</v>
      </c>
      <c r="D23" t="s">
        <v>1172</v>
      </c>
      <c r="E23" t="s">
        <v>1174</v>
      </c>
      <c r="F23" t="s">
        <v>1177</v>
      </c>
      <c r="S23" s="49"/>
      <c r="V23" t="s">
        <v>1146</v>
      </c>
      <c r="W23" t="s">
        <v>1147</v>
      </c>
      <c r="X23" s="49"/>
      <c r="AF23" s="49"/>
    </row>
    <row r="24" spans="1:32">
      <c r="A24" s="50" t="s">
        <v>108</v>
      </c>
      <c r="B24" s="50" t="s">
        <v>1065</v>
      </c>
      <c r="C24" s="50" t="str">
        <f t="shared" si="0"/>
        <v>_Široký ALU rámeček_Spodní Kraby</v>
      </c>
      <c r="D24" t="s">
        <v>1186</v>
      </c>
      <c r="E24" t="s">
        <v>1180</v>
      </c>
      <c r="F24" t="s">
        <v>1182</v>
      </c>
      <c r="G24" t="s">
        <v>1184</v>
      </c>
      <c r="S24" s="49"/>
      <c r="V24" t="s">
        <v>1147</v>
      </c>
      <c r="W24" t="s">
        <v>1150</v>
      </c>
      <c r="X24" s="49"/>
      <c r="AF24" s="49"/>
    </row>
    <row r="25" spans="1:32">
      <c r="A25" s="53" t="s">
        <v>107</v>
      </c>
      <c r="B25" s="53" t="s">
        <v>1066</v>
      </c>
      <c r="C25" s="53" t="str">
        <f t="shared" si="0"/>
        <v>_Úzký ALU rámeček_Kiaro</v>
      </c>
      <c r="D25" t="s">
        <v>1172</v>
      </c>
      <c r="E25" t="s">
        <v>1174</v>
      </c>
      <c r="F25" t="s">
        <v>1177</v>
      </c>
      <c r="S25" s="49"/>
      <c r="V25" t="s">
        <v>1159</v>
      </c>
      <c r="W25" t="s">
        <v>1160</v>
      </c>
      <c r="X25" s="49"/>
      <c r="AF25" s="49"/>
    </row>
    <row r="26" spans="1:32">
      <c r="A26" s="53" t="s">
        <v>108</v>
      </c>
      <c r="B26" s="53" t="s">
        <v>1066</v>
      </c>
      <c r="C26" s="53" t="str">
        <f t="shared" si="0"/>
        <v>_Široký ALU rámeček_Kiaro</v>
      </c>
      <c r="D26" t="s">
        <v>1186</v>
      </c>
      <c r="E26" t="s">
        <v>1180</v>
      </c>
      <c r="F26" t="s">
        <v>1182</v>
      </c>
      <c r="G26" t="s">
        <v>1184</v>
      </c>
      <c r="S26" s="49"/>
      <c r="V26" t="s">
        <v>1167</v>
      </c>
      <c r="W26" t="s">
        <v>1168</v>
      </c>
      <c r="X26" s="49"/>
      <c r="AF26" s="49"/>
    </row>
    <row r="27" spans="1:32">
      <c r="A27" s="50" t="s">
        <v>107</v>
      </c>
      <c r="B27" s="50" t="s">
        <v>1067</v>
      </c>
      <c r="C27" s="50" t="str">
        <f t="shared" si="0"/>
        <v>_Úzký ALU rámeček_Link</v>
      </c>
      <c r="D27" t="s">
        <v>1172</v>
      </c>
      <c r="E27" t="s">
        <v>1174</v>
      </c>
      <c r="F27" t="s">
        <v>1177</v>
      </c>
      <c r="S27" s="49"/>
      <c r="V27" t="s">
        <v>1169</v>
      </c>
      <c r="W27" t="s">
        <v>1147</v>
      </c>
      <c r="X27" s="49"/>
      <c r="AF27" s="49"/>
    </row>
    <row r="28" spans="1:32">
      <c r="A28" s="50" t="s">
        <v>108</v>
      </c>
      <c r="B28" s="50" t="s">
        <v>1067</v>
      </c>
      <c r="C28" s="50" t="str">
        <f t="shared" si="0"/>
        <v>_Široký ALU rámeček_Link</v>
      </c>
      <c r="D28" t="s">
        <v>1186</v>
      </c>
      <c r="E28" t="s">
        <v>1180</v>
      </c>
      <c r="F28" t="s">
        <v>1182</v>
      </c>
      <c r="G28" t="s">
        <v>1184</v>
      </c>
      <c r="S28" s="49"/>
      <c r="W28" t="s">
        <v>1170</v>
      </c>
      <c r="X28" s="49"/>
      <c r="AF28" s="49"/>
    </row>
    <row r="29" spans="1:32">
      <c r="A29" s="53" t="s">
        <v>107</v>
      </c>
      <c r="B29" s="53" t="s">
        <v>1068</v>
      </c>
      <c r="C29" s="53" t="str">
        <f t="shared" si="0"/>
        <v>_Úzký ALU rámeček_Automatická vzpěra</v>
      </c>
      <c r="D29" t="s">
        <v>1151</v>
      </c>
      <c r="E29" t="s">
        <v>1452</v>
      </c>
      <c r="F29" t="s">
        <v>1153</v>
      </c>
      <c r="G29" t="s">
        <v>1453</v>
      </c>
      <c r="I29" t="s">
        <v>1156</v>
      </c>
      <c r="J29" t="s">
        <v>1455</v>
      </c>
      <c r="K29" t="s">
        <v>1456</v>
      </c>
      <c r="S29" s="49"/>
      <c r="W29" t="s">
        <v>1171</v>
      </c>
      <c r="X29" s="49"/>
      <c r="AF29" s="49"/>
    </row>
    <row r="30" spans="1:32">
      <c r="A30" s="53" t="s">
        <v>108</v>
      </c>
      <c r="B30" s="53" t="s">
        <v>1068</v>
      </c>
      <c r="C30" s="53" t="str">
        <f t="shared" si="0"/>
        <v>_Široký ALU rámeček_Automatická vzpěra</v>
      </c>
      <c r="D30" t="s">
        <v>1161</v>
      </c>
      <c r="E30" t="s">
        <v>1457</v>
      </c>
      <c r="F30" t="s">
        <v>1163</v>
      </c>
      <c r="G30" t="s">
        <v>1458</v>
      </c>
      <c r="H30" t="s">
        <v>1165</v>
      </c>
      <c r="I30" t="s">
        <v>1459</v>
      </c>
      <c r="S30" s="49"/>
      <c r="T30">
        <v>2</v>
      </c>
      <c r="U30" t="s">
        <v>578</v>
      </c>
      <c r="V30" t="s">
        <v>1134</v>
      </c>
      <c r="W30" t="s">
        <v>1135</v>
      </c>
      <c r="X30" s="49"/>
      <c r="AF30" s="49"/>
    </row>
    <row r="31" spans="1:32">
      <c r="A31" s="50" t="s">
        <v>107</v>
      </c>
      <c r="B31" s="50" t="s">
        <v>1069</v>
      </c>
      <c r="C31" s="50" t="str">
        <f t="shared" si="0"/>
        <v>_Úzký ALU rámeček_Polohovací vzpěra</v>
      </c>
      <c r="D31" t="s">
        <v>1151</v>
      </c>
      <c r="E31" t="s">
        <v>1452</v>
      </c>
      <c r="F31" t="s">
        <v>1153</v>
      </c>
      <c r="G31" t="s">
        <v>1453</v>
      </c>
      <c r="I31" t="s">
        <v>1156</v>
      </c>
      <c r="J31" t="s">
        <v>1455</v>
      </c>
      <c r="K31" t="s">
        <v>1456</v>
      </c>
      <c r="S31" s="49"/>
      <c r="V31" t="s">
        <v>1141</v>
      </c>
      <c r="W31" t="s">
        <v>1142</v>
      </c>
      <c r="X31" s="49"/>
      <c r="AF31" s="49"/>
    </row>
    <row r="32" spans="1:32">
      <c r="A32" s="50" t="s">
        <v>108</v>
      </c>
      <c r="B32" s="50" t="s">
        <v>1069</v>
      </c>
      <c r="C32" s="50" t="str">
        <f t="shared" si="0"/>
        <v>_Široký ALU rámeček_Polohovací vzpěra</v>
      </c>
      <c r="D32" t="s">
        <v>1161</v>
      </c>
      <c r="E32" t="s">
        <v>1457</v>
      </c>
      <c r="F32" t="s">
        <v>1163</v>
      </c>
      <c r="G32" t="s">
        <v>1458</v>
      </c>
      <c r="H32" t="s">
        <v>1165</v>
      </c>
      <c r="I32" t="s">
        <v>1459</v>
      </c>
      <c r="S32" s="49"/>
      <c r="V32" t="s">
        <v>1146</v>
      </c>
      <c r="W32" t="s">
        <v>1147</v>
      </c>
      <c r="X32" s="49"/>
      <c r="AF32" s="49"/>
    </row>
    <row r="33" spans="1:32">
      <c r="A33" s="53" t="s">
        <v>107</v>
      </c>
      <c r="B33" s="53" t="s">
        <v>1071</v>
      </c>
      <c r="C33" s="53" t="str">
        <f t="shared" si="0"/>
        <v>_Úzký ALU rámeček_LiftMini</v>
      </c>
      <c r="D33" t="s">
        <v>1172</v>
      </c>
      <c r="E33" t="s">
        <v>1174</v>
      </c>
      <c r="F33" t="s">
        <v>1177</v>
      </c>
      <c r="S33" s="49"/>
      <c r="V33" t="s">
        <v>1147</v>
      </c>
      <c r="W33" t="s">
        <v>1150</v>
      </c>
      <c r="X33" s="49"/>
      <c r="AF33" s="49"/>
    </row>
    <row r="34" spans="1:32">
      <c r="A34" s="53" t="s">
        <v>108</v>
      </c>
      <c r="B34" s="53" t="s">
        <v>1071</v>
      </c>
      <c r="C34" s="53" t="str">
        <f t="shared" si="0"/>
        <v>_Široký ALU rámeček_LiftMini</v>
      </c>
      <c r="D34" t="s">
        <v>1186</v>
      </c>
      <c r="E34" t="s">
        <v>1180</v>
      </c>
      <c r="F34" t="s">
        <v>1182</v>
      </c>
      <c r="G34" t="s">
        <v>1184</v>
      </c>
      <c r="S34" s="49"/>
      <c r="V34" t="s">
        <v>1159</v>
      </c>
      <c r="W34" t="s">
        <v>1160</v>
      </c>
      <c r="X34" s="49"/>
      <c r="AF34" s="49"/>
    </row>
    <row r="35" spans="1:32">
      <c r="V35" t="s">
        <v>1167</v>
      </c>
      <c r="W35" t="s">
        <v>1168</v>
      </c>
    </row>
    <row r="36" spans="1:32">
      <c r="A36" t="s">
        <v>1187</v>
      </c>
      <c r="V36" t="s">
        <v>1169</v>
      </c>
      <c r="W36" t="s">
        <v>1147</v>
      </c>
    </row>
    <row r="37" spans="1:32">
      <c r="A37" t="s">
        <v>1188</v>
      </c>
      <c r="W37" t="s">
        <v>1170</v>
      </c>
    </row>
    <row r="38" spans="1:32">
      <c r="W38" t="s">
        <v>1171</v>
      </c>
    </row>
    <row r="39" spans="1:32">
      <c r="T39">
        <v>1</v>
      </c>
      <c r="U39" t="s">
        <v>1189</v>
      </c>
      <c r="V39" t="s">
        <v>1134</v>
      </c>
      <c r="W39" t="s">
        <v>1135</v>
      </c>
    </row>
    <row r="40" spans="1:32">
      <c r="V40" t="s">
        <v>1141</v>
      </c>
      <c r="W40" t="s">
        <v>1142</v>
      </c>
    </row>
    <row r="41" spans="1:32">
      <c r="V41" t="s">
        <v>1146</v>
      </c>
      <c r="W41" t="s">
        <v>1147</v>
      </c>
    </row>
    <row r="42" spans="1:32">
      <c r="V42" t="s">
        <v>1147</v>
      </c>
      <c r="W42" t="s">
        <v>1150</v>
      </c>
    </row>
    <row r="43" spans="1:32">
      <c r="V43" t="s">
        <v>1159</v>
      </c>
      <c r="W43" t="s">
        <v>1160</v>
      </c>
    </row>
    <row r="44" spans="1:32">
      <c r="V44" t="s">
        <v>1167</v>
      </c>
      <c r="W44" t="s">
        <v>1168</v>
      </c>
    </row>
    <row r="45" spans="1:32">
      <c r="V45" t="s">
        <v>1169</v>
      </c>
      <c r="W45" t="s">
        <v>1147</v>
      </c>
    </row>
    <row r="46" spans="1:32">
      <c r="W46" t="s">
        <v>1170</v>
      </c>
    </row>
    <row r="47" spans="1:32">
      <c r="W47" t="s">
        <v>1171</v>
      </c>
    </row>
    <row r="48" spans="1:32">
      <c r="T48">
        <v>2</v>
      </c>
      <c r="U48" t="s">
        <v>1189</v>
      </c>
      <c r="V48" t="s">
        <v>1134</v>
      </c>
      <c r="W48" t="s">
        <v>1135</v>
      </c>
    </row>
    <row r="49" spans="1:32">
      <c r="V49" t="s">
        <v>1141</v>
      </c>
      <c r="W49" t="s">
        <v>1142</v>
      </c>
    </row>
    <row r="50" spans="1:32">
      <c r="V50" t="s">
        <v>1146</v>
      </c>
      <c r="W50" t="s">
        <v>1147</v>
      </c>
    </row>
    <row r="51" spans="1:32">
      <c r="V51" t="s">
        <v>1147</v>
      </c>
      <c r="W51" t="s">
        <v>1150</v>
      </c>
    </row>
    <row r="52" spans="1:32">
      <c r="V52" t="s">
        <v>1159</v>
      </c>
      <c r="W52" t="s">
        <v>1160</v>
      </c>
    </row>
    <row r="53" spans="1:32">
      <c r="V53" t="s">
        <v>1167</v>
      </c>
      <c r="W53" t="s">
        <v>1168</v>
      </c>
    </row>
    <row r="54" spans="1:32">
      <c r="V54" t="s">
        <v>1169</v>
      </c>
      <c r="W54" t="s">
        <v>1147</v>
      </c>
    </row>
    <row r="55" spans="1:32">
      <c r="W55" t="s">
        <v>1170</v>
      </c>
    </row>
    <row r="56" spans="1:32">
      <c r="W56" t="s">
        <v>1171</v>
      </c>
    </row>
    <row r="57" spans="1:32">
      <c r="A57" s="50" t="s">
        <v>458</v>
      </c>
      <c r="B57" s="50" t="s">
        <v>1201</v>
      </c>
      <c r="C57" s="53" t="s">
        <v>458</v>
      </c>
      <c r="D57" s="53" t="s">
        <v>1201</v>
      </c>
      <c r="E57" s="50" t="s">
        <v>458</v>
      </c>
      <c r="F57" s="50" t="s">
        <v>1201</v>
      </c>
      <c r="G57" s="53" t="s">
        <v>458</v>
      </c>
      <c r="H57" s="53" t="s">
        <v>1201</v>
      </c>
      <c r="I57" s="50" t="s">
        <v>458</v>
      </c>
      <c r="J57" s="50" t="s">
        <v>1201</v>
      </c>
      <c r="K57" s="53" t="s">
        <v>458</v>
      </c>
      <c r="L57" s="53" t="s">
        <v>1201</v>
      </c>
      <c r="M57" s="50" t="s">
        <v>458</v>
      </c>
      <c r="N57" s="50" t="s">
        <v>1201</v>
      </c>
      <c r="O57" s="53" t="s">
        <v>458</v>
      </c>
      <c r="P57" s="53" t="s">
        <v>1201</v>
      </c>
      <c r="Q57" s="50" t="s">
        <v>458</v>
      </c>
      <c r="R57" s="50" t="s">
        <v>1201</v>
      </c>
      <c r="S57" s="53" t="s">
        <v>458</v>
      </c>
      <c r="T57" s="53" t="s">
        <v>1201</v>
      </c>
      <c r="U57" s="50" t="s">
        <v>458</v>
      </c>
      <c r="V57" s="50" t="s">
        <v>1201</v>
      </c>
      <c r="W57" s="53" t="s">
        <v>458</v>
      </c>
      <c r="X57" s="53" t="s">
        <v>1201</v>
      </c>
      <c r="Y57" s="50" t="s">
        <v>458</v>
      </c>
      <c r="Z57" s="50" t="s">
        <v>1201</v>
      </c>
      <c r="AA57" s="53" t="s">
        <v>458</v>
      </c>
      <c r="AB57" s="53" t="s">
        <v>1201</v>
      </c>
      <c r="AC57" s="50" t="s">
        <v>458</v>
      </c>
      <c r="AD57" s="50" t="s">
        <v>1201</v>
      </c>
      <c r="AE57" s="53" t="s">
        <v>458</v>
      </c>
      <c r="AF57" s="53" t="s">
        <v>1201</v>
      </c>
    </row>
    <row r="58" spans="1:32">
      <c r="A58" s="50" t="s">
        <v>577</v>
      </c>
      <c r="B58" s="50" t="s">
        <v>577</v>
      </c>
      <c r="C58" s="53" t="s">
        <v>1046</v>
      </c>
      <c r="D58" s="53" t="s">
        <v>1046</v>
      </c>
      <c r="E58" s="50" t="s">
        <v>1050</v>
      </c>
      <c r="F58" s="50" t="s">
        <v>1050</v>
      </c>
      <c r="G58" s="53" t="s">
        <v>1053</v>
      </c>
      <c r="H58" s="53" t="s">
        <v>1053</v>
      </c>
      <c r="I58" s="50" t="s">
        <v>1060</v>
      </c>
      <c r="J58" s="50" t="s">
        <v>1060</v>
      </c>
      <c r="K58" s="53" t="s">
        <v>1058</v>
      </c>
      <c r="L58" s="53" t="s">
        <v>1058</v>
      </c>
      <c r="M58" s="50" t="s">
        <v>1055</v>
      </c>
      <c r="N58" s="50" t="s">
        <v>1055</v>
      </c>
      <c r="O58" s="53" t="s">
        <v>1061</v>
      </c>
      <c r="P58" s="53" t="s">
        <v>1061</v>
      </c>
      <c r="Q58" s="50" t="s">
        <v>1063</v>
      </c>
      <c r="R58" s="50" t="s">
        <v>1063</v>
      </c>
      <c r="S58" s="53" t="s">
        <v>1064</v>
      </c>
      <c r="T58" s="53" t="s">
        <v>1064</v>
      </c>
      <c r="U58" s="50" t="s">
        <v>1065</v>
      </c>
      <c r="V58" s="50" t="s">
        <v>1065</v>
      </c>
      <c r="W58" s="53" t="s">
        <v>1066</v>
      </c>
      <c r="X58" s="53" t="s">
        <v>1066</v>
      </c>
      <c r="Y58" s="50" t="s">
        <v>1067</v>
      </c>
      <c r="Z58" s="50" t="s">
        <v>1067</v>
      </c>
      <c r="AA58" s="53" t="s">
        <v>1068</v>
      </c>
      <c r="AB58" s="53" t="s">
        <v>1068</v>
      </c>
      <c r="AC58" s="50" t="s">
        <v>1069</v>
      </c>
      <c r="AD58" s="50" t="s">
        <v>1069</v>
      </c>
      <c r="AE58" s="53" t="s">
        <v>1071</v>
      </c>
      <c r="AF58" s="53" t="s">
        <v>1071</v>
      </c>
    </row>
    <row r="59" spans="1:32">
      <c r="A59" s="57" t="s">
        <v>1128</v>
      </c>
      <c r="B59" s="57" t="s">
        <v>1136</v>
      </c>
      <c r="C59" s="57" t="s">
        <v>1143</v>
      </c>
      <c r="D59" s="57" t="s">
        <v>1148</v>
      </c>
      <c r="E59" s="57" t="s">
        <v>1151</v>
      </c>
      <c r="F59" s="57" t="s">
        <v>1161</v>
      </c>
      <c r="G59" s="57" t="s">
        <v>1151</v>
      </c>
      <c r="H59" s="57" t="s">
        <v>1161</v>
      </c>
      <c r="I59" s="57" t="s">
        <v>1151</v>
      </c>
      <c r="J59" s="57" t="s">
        <v>1161</v>
      </c>
      <c r="K59" s="57" t="s">
        <v>1172</v>
      </c>
      <c r="L59" s="57" t="s">
        <v>1180</v>
      </c>
      <c r="M59" s="57" t="s">
        <v>1172</v>
      </c>
      <c r="N59" s="57" t="s">
        <v>1180</v>
      </c>
      <c r="O59" s="57" t="s">
        <v>1151</v>
      </c>
      <c r="P59" s="57" t="s">
        <v>1161</v>
      </c>
      <c r="Q59" t="s">
        <v>1172</v>
      </c>
      <c r="R59" t="s">
        <v>1186</v>
      </c>
      <c r="S59" t="s">
        <v>1151</v>
      </c>
      <c r="T59" t="s">
        <v>1161</v>
      </c>
      <c r="U59" t="s">
        <v>1172</v>
      </c>
      <c r="V59" t="s">
        <v>1186</v>
      </c>
      <c r="W59" t="s">
        <v>1172</v>
      </c>
      <c r="X59" t="s">
        <v>1186</v>
      </c>
      <c r="Y59" t="s">
        <v>1172</v>
      </c>
      <c r="Z59" t="s">
        <v>1186</v>
      </c>
      <c r="AA59" t="s">
        <v>1151</v>
      </c>
      <c r="AB59" t="s">
        <v>1161</v>
      </c>
      <c r="AC59" t="s">
        <v>1151</v>
      </c>
      <c r="AD59" t="s">
        <v>1161</v>
      </c>
      <c r="AE59" t="s">
        <v>1172</v>
      </c>
      <c r="AF59" t="s">
        <v>1186</v>
      </c>
    </row>
    <row r="60" spans="1:32">
      <c r="A60" t="s">
        <v>1129</v>
      </c>
      <c r="B60" t="s">
        <v>1129</v>
      </c>
      <c r="C60" t="s">
        <v>1129</v>
      </c>
      <c r="D60" t="s">
        <v>1129</v>
      </c>
      <c r="E60" s="57" t="s">
        <v>1452</v>
      </c>
      <c r="F60" s="57" t="s">
        <v>1457</v>
      </c>
      <c r="G60" s="57" t="s">
        <v>1452</v>
      </c>
      <c r="H60" s="57" t="s">
        <v>1457</v>
      </c>
      <c r="I60" s="57" t="s">
        <v>1452</v>
      </c>
      <c r="J60" s="57" t="s">
        <v>1457</v>
      </c>
      <c r="K60" s="57" t="s">
        <v>1173</v>
      </c>
      <c r="L60" s="57" t="s">
        <v>1181</v>
      </c>
      <c r="M60" s="57" t="s">
        <v>1173</v>
      </c>
      <c r="N60" s="57" t="s">
        <v>1181</v>
      </c>
      <c r="O60" s="57" t="s">
        <v>1152</v>
      </c>
      <c r="P60" s="57" t="s">
        <v>1162</v>
      </c>
      <c r="Q60" t="s">
        <v>1174</v>
      </c>
      <c r="R60" t="s">
        <v>1180</v>
      </c>
      <c r="S60" t="s">
        <v>1152</v>
      </c>
      <c r="T60" t="s">
        <v>1162</v>
      </c>
      <c r="U60" t="s">
        <v>1174</v>
      </c>
      <c r="V60" t="s">
        <v>1180</v>
      </c>
      <c r="W60" t="s">
        <v>1174</v>
      </c>
      <c r="X60" t="s">
        <v>1180</v>
      </c>
      <c r="Y60" t="s">
        <v>1174</v>
      </c>
      <c r="Z60" t="s">
        <v>1180</v>
      </c>
      <c r="AA60" t="s">
        <v>1152</v>
      </c>
      <c r="AB60" t="s">
        <v>1162</v>
      </c>
      <c r="AC60" t="s">
        <v>1152</v>
      </c>
      <c r="AD60" t="s">
        <v>1162</v>
      </c>
      <c r="AE60" t="s">
        <v>1174</v>
      </c>
      <c r="AF60" t="s">
        <v>1180</v>
      </c>
    </row>
    <row r="61" spans="1:32">
      <c r="A61" t="s">
        <v>1130</v>
      </c>
      <c r="B61" t="s">
        <v>1137</v>
      </c>
      <c r="C61" t="s">
        <v>1144</v>
      </c>
      <c r="D61" t="s">
        <v>1149</v>
      </c>
      <c r="E61" s="57" t="s">
        <v>1153</v>
      </c>
      <c r="F61" s="57" t="s">
        <v>1163</v>
      </c>
      <c r="G61" s="57" t="s">
        <v>1153</v>
      </c>
      <c r="H61" s="57" t="s">
        <v>1163</v>
      </c>
      <c r="I61" s="57" t="s">
        <v>1153</v>
      </c>
      <c r="J61" s="57" t="s">
        <v>1163</v>
      </c>
      <c r="K61" s="57" t="s">
        <v>1174</v>
      </c>
      <c r="L61" s="57" t="s">
        <v>1182</v>
      </c>
      <c r="M61" s="57" t="s">
        <v>1174</v>
      </c>
      <c r="N61" s="57" t="s">
        <v>1182</v>
      </c>
      <c r="O61" s="57" t="s">
        <v>1153</v>
      </c>
      <c r="P61" s="57" t="s">
        <v>1163</v>
      </c>
      <c r="Q61" t="s">
        <v>1177</v>
      </c>
      <c r="R61" t="s">
        <v>1182</v>
      </c>
      <c r="S61" t="s">
        <v>1153</v>
      </c>
      <c r="T61" t="s">
        <v>1163</v>
      </c>
      <c r="U61" t="s">
        <v>1177</v>
      </c>
      <c r="V61" t="s">
        <v>1182</v>
      </c>
      <c r="W61" t="s">
        <v>1177</v>
      </c>
      <c r="X61" t="s">
        <v>1182</v>
      </c>
      <c r="Y61" t="s">
        <v>1177</v>
      </c>
      <c r="Z61" t="s">
        <v>1182</v>
      </c>
      <c r="AA61" t="s">
        <v>1153</v>
      </c>
      <c r="AB61" t="s">
        <v>1163</v>
      </c>
      <c r="AC61" t="s">
        <v>1153</v>
      </c>
      <c r="AD61" t="s">
        <v>1163</v>
      </c>
      <c r="AE61" t="s">
        <v>1177</v>
      </c>
      <c r="AF61" t="s">
        <v>1182</v>
      </c>
    </row>
    <row r="62" spans="1:32">
      <c r="A62" t="s">
        <v>1131</v>
      </c>
      <c r="B62" t="s">
        <v>1138</v>
      </c>
      <c r="C62" t="s">
        <v>1145</v>
      </c>
      <c r="D62" t="s">
        <v>1140</v>
      </c>
      <c r="E62" s="57" t="s">
        <v>1453</v>
      </c>
      <c r="F62" s="57" t="s">
        <v>1458</v>
      </c>
      <c r="G62" s="57" t="s">
        <v>1453</v>
      </c>
      <c r="H62" s="57" t="s">
        <v>1458</v>
      </c>
      <c r="I62" s="57" t="s">
        <v>1453</v>
      </c>
      <c r="J62" s="57" t="s">
        <v>1458</v>
      </c>
      <c r="K62" s="57" t="s">
        <v>1175</v>
      </c>
      <c r="L62" s="57" t="s">
        <v>1183</v>
      </c>
      <c r="M62" s="57" t="s">
        <v>1175</v>
      </c>
      <c r="N62" s="57" t="s">
        <v>1183</v>
      </c>
      <c r="O62" s="57" t="s">
        <v>1154</v>
      </c>
      <c r="P62" s="57" t="s">
        <v>1164</v>
      </c>
      <c r="R62" t="s">
        <v>1184</v>
      </c>
      <c r="S62" t="s">
        <v>1154</v>
      </c>
      <c r="T62" t="s">
        <v>1164</v>
      </c>
      <c r="V62" t="s">
        <v>1184</v>
      </c>
      <c r="X62" t="s">
        <v>1184</v>
      </c>
      <c r="Z62" t="s">
        <v>1184</v>
      </c>
      <c r="AA62" t="s">
        <v>1154</v>
      </c>
      <c r="AB62" t="s">
        <v>1164</v>
      </c>
      <c r="AC62" t="s">
        <v>1154</v>
      </c>
      <c r="AD62" t="s">
        <v>1164</v>
      </c>
      <c r="AF62" t="s">
        <v>1184</v>
      </c>
    </row>
    <row r="63" spans="1:32">
      <c r="A63" t="s">
        <v>1132</v>
      </c>
      <c r="B63" t="s">
        <v>1139</v>
      </c>
      <c r="D63" t="s">
        <v>1145</v>
      </c>
      <c r="E63" s="57" t="s">
        <v>1454</v>
      </c>
      <c r="F63" s="57" t="s">
        <v>1165</v>
      </c>
      <c r="G63" s="57" t="s">
        <v>1454</v>
      </c>
      <c r="H63" s="57" t="s">
        <v>1165</v>
      </c>
      <c r="I63" s="57" t="s">
        <v>1454</v>
      </c>
      <c r="J63" s="57" t="s">
        <v>1165</v>
      </c>
      <c r="K63" s="57" t="s">
        <v>1176</v>
      </c>
      <c r="L63" s="57" t="s">
        <v>1184</v>
      </c>
      <c r="M63" s="57" t="s">
        <v>1176</v>
      </c>
      <c r="N63" s="57" t="s">
        <v>1184</v>
      </c>
      <c r="O63" s="57" t="s">
        <v>1155</v>
      </c>
      <c r="P63" s="57" t="s">
        <v>1165</v>
      </c>
      <c r="S63" t="s">
        <v>1155</v>
      </c>
      <c r="T63" t="s">
        <v>1165</v>
      </c>
      <c r="AA63" t="s">
        <v>1155</v>
      </c>
      <c r="AB63" t="s">
        <v>1165</v>
      </c>
      <c r="AC63" t="s">
        <v>1155</v>
      </c>
      <c r="AD63" t="s">
        <v>1165</v>
      </c>
    </row>
    <row r="64" spans="1:32">
      <c r="A64" t="s">
        <v>1133</v>
      </c>
      <c r="B64" t="s">
        <v>1140</v>
      </c>
      <c r="E64" s="57" t="s">
        <v>1156</v>
      </c>
      <c r="F64" s="57" t="s">
        <v>1459</v>
      </c>
      <c r="G64" s="57" t="s">
        <v>1156</v>
      </c>
      <c r="H64" s="57" t="s">
        <v>1459</v>
      </c>
      <c r="I64" s="57" t="s">
        <v>1156</v>
      </c>
      <c r="J64" s="57" t="s">
        <v>1459</v>
      </c>
      <c r="K64" s="57" t="s">
        <v>1177</v>
      </c>
      <c r="L64" s="57" t="s">
        <v>1185</v>
      </c>
      <c r="M64" s="57" t="s">
        <v>1177</v>
      </c>
      <c r="N64" s="57" t="s">
        <v>1185</v>
      </c>
      <c r="O64" s="57" t="s">
        <v>1156</v>
      </c>
      <c r="P64" s="57" t="s">
        <v>1166</v>
      </c>
      <c r="S64" t="s">
        <v>1156</v>
      </c>
      <c r="T64" t="s">
        <v>1166</v>
      </c>
      <c r="AA64" t="s">
        <v>1156</v>
      </c>
      <c r="AB64" t="s">
        <v>1166</v>
      </c>
      <c r="AC64" t="s">
        <v>1156</v>
      </c>
      <c r="AD64" t="s">
        <v>1166</v>
      </c>
    </row>
    <row r="65" spans="1:29">
      <c r="E65" s="57" t="s">
        <v>1455</v>
      </c>
      <c r="G65" s="57" t="s">
        <v>1455</v>
      </c>
      <c r="I65" s="57" t="s">
        <v>1455</v>
      </c>
      <c r="K65" s="57" t="s">
        <v>1178</v>
      </c>
      <c r="M65" s="57" t="s">
        <v>1178</v>
      </c>
      <c r="O65" s="57" t="s">
        <v>1157</v>
      </c>
      <c r="S65" t="s">
        <v>1157</v>
      </c>
      <c r="AA65" t="s">
        <v>1157</v>
      </c>
      <c r="AC65" t="s">
        <v>1157</v>
      </c>
    </row>
    <row r="66" spans="1:29">
      <c r="E66" s="57" t="s">
        <v>1456</v>
      </c>
      <c r="G66" s="57" t="s">
        <v>1456</v>
      </c>
      <c r="I66" s="57" t="s">
        <v>1456</v>
      </c>
      <c r="K66" s="57" t="s">
        <v>1179</v>
      </c>
      <c r="M66" s="57" t="s">
        <v>1179</v>
      </c>
      <c r="O66" s="57" t="s">
        <v>1158</v>
      </c>
      <c r="S66" t="s">
        <v>1158</v>
      </c>
      <c r="AA66" t="s">
        <v>1158</v>
      </c>
      <c r="AC66" t="s">
        <v>1158</v>
      </c>
    </row>
    <row r="74" spans="1:29">
      <c r="A74" s="309" t="s">
        <v>3904</v>
      </c>
      <c r="B74" s="309" t="s">
        <v>3905</v>
      </c>
      <c r="C74" s="309" t="s">
        <v>3906</v>
      </c>
      <c r="E74" s="309"/>
      <c r="F74" s="309"/>
      <c r="G74" s="309"/>
      <c r="H74" s="309"/>
      <c r="J74" s="309"/>
    </row>
    <row r="75" spans="1:29">
      <c r="A75" s="309" t="str">
        <f>'Translate&amp;Prices&amp;Logo'!B164</f>
        <v>siatka alu złota - oko 10x6x1 mm</v>
      </c>
      <c r="B75" s="309" t="str">
        <f>'Translate&amp;Prices&amp;Logo'!B164</f>
        <v>siatka alu złota - oko 10x6x1 mm</v>
      </c>
      <c r="C75" s="309" t="str">
        <f>'Translate&amp;Prices&amp;Logo'!B166</f>
        <v>siatka stalowa biała - oko 8x4x1 mm</v>
      </c>
      <c r="E75" s="309"/>
      <c r="F75" s="309"/>
      <c r="G75" s="309"/>
      <c r="H75" s="309"/>
      <c r="J75" s="309"/>
    </row>
    <row r="76" spans="1:29">
      <c r="A76" s="309" t="str">
        <f>'Translate&amp;Prices&amp;Logo'!B167</f>
        <v>siatka elox - oko 10x6x1 mm</v>
      </c>
      <c r="B76" s="309" t="str">
        <f>'Translate&amp;Prices&amp;Logo'!B167</f>
        <v>siatka elox - oko 10x6x1 mm</v>
      </c>
      <c r="D76" s="309"/>
      <c r="F76" s="309"/>
      <c r="G76" s="309"/>
    </row>
    <row r="77" spans="1:29">
      <c r="B77" s="309" t="str">
        <f>'Translate&amp;Prices&amp;Logo'!B165</f>
        <v>siatka stal czarny mat RAL 9005– oko 8x4x1 mm</v>
      </c>
      <c r="D77" s="309"/>
      <c r="F77" s="309"/>
      <c r="G77" s="309"/>
    </row>
    <row r="80" spans="1:29">
      <c r="A80" t="s">
        <v>2423</v>
      </c>
      <c r="H80" s="309"/>
    </row>
    <row r="81" spans="1:9">
      <c r="A81" s="309" t="str">
        <f>'Translate&amp;Prices&amp;Logo'!$B$13</f>
        <v>BRW złota- maksymalna zalecana długość profilu 2500 mm</v>
      </c>
      <c r="B81" t="s">
        <v>3904</v>
      </c>
      <c r="C81" s="511"/>
      <c r="D81" s="511"/>
      <c r="E81" s="511"/>
      <c r="F81" s="511"/>
      <c r="G81" s="511"/>
      <c r="H81" s="511"/>
      <c r="I81" s="511"/>
    </row>
    <row r="82" spans="1:9">
      <c r="A82" s="309" t="str">
        <f>'Translate&amp;Prices&amp;Logo'!$B$6</f>
        <v>BRW (elox.) - maksymalna zalecana długość profilu 2500 mm</v>
      </c>
      <c r="B82" t="s">
        <v>3905</v>
      </c>
      <c r="C82" s="511"/>
      <c r="D82" s="512"/>
      <c r="E82" s="512"/>
      <c r="F82" s="512"/>
      <c r="G82" s="512"/>
      <c r="H82" s="512"/>
      <c r="I82" s="512"/>
    </row>
    <row r="83" spans="1:9">
      <c r="A83" s="309" t="str">
        <f>'Translate&amp;Prices&amp;Logo'!$B$12</f>
        <v>BRW Czarny matowy - maksymalna zalecana długość profilu 2500 mm</v>
      </c>
      <c r="B83" t="s">
        <v>3905</v>
      </c>
      <c r="C83" s="511"/>
      <c r="D83" s="512"/>
      <c r="E83" s="512"/>
      <c r="F83" s="512"/>
      <c r="G83" s="512"/>
      <c r="H83" s="512"/>
      <c r="I83" s="512"/>
    </row>
    <row r="84" spans="1:9">
      <c r="A84" t="str">
        <f>'Translate&amp;Prices&amp;Logo'!$B$9</f>
        <v>BRW bialy połysk RAL 9003 - maksymalna zalecana długość profilu 2500 mm</v>
      </c>
      <c r="B84" s="309" t="s">
        <v>3906</v>
      </c>
      <c r="C84" s="511"/>
      <c r="D84" s="512"/>
      <c r="E84" s="512"/>
      <c r="F84" s="512"/>
      <c r="G84" s="512"/>
      <c r="H84" s="512"/>
      <c r="I84" s="512"/>
    </row>
    <row r="85" spans="1:9">
      <c r="A85" s="309" t="str">
        <f>'Translate&amp;Prices&amp;Logo'!$B$8</f>
        <v>BRW bialy matowy RAL 9003 - maksymalna zalecana długość profilu 2500 mm</v>
      </c>
      <c r="B85" s="309" t="s">
        <v>3906</v>
      </c>
      <c r="C85" s="511"/>
      <c r="D85" s="512"/>
      <c r="E85" s="512"/>
      <c r="F85" s="512"/>
      <c r="G85" s="512"/>
      <c r="H85" s="512"/>
      <c r="I85" s="512"/>
    </row>
    <row r="86" spans="1:9">
      <c r="A86" s="310" t="str">
        <f>'Translate&amp;Prices&amp;Logo'!$B$31</f>
        <v>Vivaro złota - maksymalna zalecana zalecana długość profilu 2150 mm</v>
      </c>
      <c r="B86" t="s">
        <v>3904</v>
      </c>
      <c r="H86" s="309"/>
    </row>
    <row r="87" spans="1:9">
      <c r="A87" s="309" t="str">
        <f>'Translate&amp;Prices&amp;Logo'!$B$43</f>
        <v>Vivaro (elox.) - maksymalna zalecana zalecana długość profilu 2500 mm</v>
      </c>
      <c r="B87" t="s">
        <v>3905</v>
      </c>
      <c r="H87" s="309"/>
    </row>
    <row r="88" spans="1:9">
      <c r="A88" s="309" t="str">
        <f>'Translate&amp;Prices&amp;Logo'!$B$44</f>
        <v>Vivaro czarny matowy - maksymalna zalecana zalecana długość profilu 2500 mm</v>
      </c>
      <c r="B88" t="s">
        <v>3905</v>
      </c>
      <c r="H88" s="309"/>
    </row>
    <row r="89" spans="1:9">
      <c r="A89" s="309" t="str">
        <f>'Translate&amp;Prices&amp;Logo'!$B$47</f>
        <v>Vivaro biały matowy RAL 9003 - maksymalna zalecana zalecana długość profilu 2500 mm</v>
      </c>
      <c r="B89" s="309" t="s">
        <v>3906</v>
      </c>
      <c r="H89" s="309"/>
    </row>
    <row r="90" spans="1:9">
      <c r="A90" t="str">
        <f>'Translate&amp;Prices&amp;Logo'!$B$48</f>
        <v>Vivaro biały połysk RAL 9003 - maksymalna zalecana zalecana długość profilu 2500 mm</v>
      </c>
      <c r="B90" s="309" t="s">
        <v>3906</v>
      </c>
    </row>
    <row r="94" spans="1:9">
      <c r="A94" t="s">
        <v>1075</v>
      </c>
      <c r="B94" t="s">
        <v>1079</v>
      </c>
      <c r="C94" t="s">
        <v>1074</v>
      </c>
      <c r="D94" t="s">
        <v>1080</v>
      </c>
      <c r="E94" t="s">
        <v>1019</v>
      </c>
      <c r="F94" t="s">
        <v>1081</v>
      </c>
    </row>
    <row r="95" spans="1:9">
      <c r="A95" t="s">
        <v>1085</v>
      </c>
      <c r="B95" t="s">
        <v>1086</v>
      </c>
      <c r="C95" t="s">
        <v>1087</v>
      </c>
      <c r="D95" t="s">
        <v>1088</v>
      </c>
      <c r="E95" t="s">
        <v>1089</v>
      </c>
      <c r="F95" t="s">
        <v>1090</v>
      </c>
    </row>
    <row r="96" spans="1:9">
      <c r="A96" t="str">
        <f>'Translate&amp;Prices&amp;Logo'!$B$99</f>
        <v>Czyste</v>
      </c>
      <c r="B96" t="str">
        <f>'Translate&amp;Prices&amp;Logo'!$B$115</f>
        <v xml:space="preserve">Lustro </v>
      </c>
      <c r="C96" t="str">
        <f>'Translate&amp;Prices&amp;Logo'!$B$99</f>
        <v>Czyste</v>
      </c>
      <c r="D96" t="str">
        <f>'Translate&amp;Prices&amp;Logo'!$B$627</f>
        <v>Nieprawidłowa kombinacja</v>
      </c>
      <c r="E96" t="str">
        <f>'Translate&amp;Prices&amp;Logo'!$B$115</f>
        <v xml:space="preserve">Lustro </v>
      </c>
      <c r="F96" t="str">
        <f>'Translate&amp;Prices&amp;Logo'!$B$115</f>
        <v xml:space="preserve">Lustro </v>
      </c>
    </row>
    <row r="97" spans="1:6">
      <c r="A97" t="str">
        <f>'Translate&amp;Prices&amp;Logo'!$B$104</f>
        <v xml:space="preserve">Satinato </v>
      </c>
      <c r="B97" t="str">
        <f>'Translate&amp;Prices&amp;Logo'!$B$116</f>
        <v xml:space="preserve">Lustro brązowe </v>
      </c>
      <c r="C97" t="str">
        <f>'Translate&amp;Prices&amp;Logo'!$B$161</f>
        <v>Optiwhite</v>
      </c>
      <c r="E97" t="str">
        <f>'Translate&amp;Prices&amp;Logo'!$B$116</f>
        <v xml:space="preserve">Lustro brązowe </v>
      </c>
      <c r="F97" t="str">
        <f>'Translate&amp;Prices&amp;Logo'!$B$116</f>
        <v xml:space="preserve">Lustro brązowe </v>
      </c>
    </row>
    <row r="98" spans="1:6">
      <c r="A98" t="str">
        <f>'Translate&amp;Prices&amp;Logo'!$B$106</f>
        <v xml:space="preserve">Satinato brązowe/Decormat Braz </v>
      </c>
      <c r="B98" t="str">
        <f>'Translate&amp;Prices&amp;Logo'!$B$117</f>
        <v xml:space="preserve">Lustro grafit </v>
      </c>
      <c r="C98" t="str">
        <f>'Translate&amp;Prices&amp;Logo'!$B$105</f>
        <v xml:space="preserve">MASTER SOFT </v>
      </c>
      <c r="E98" t="str">
        <f>'Translate&amp;Prices&amp;Logo'!$B$117</f>
        <v xml:space="preserve">Lustro grafit </v>
      </c>
      <c r="F98" t="str">
        <f>'Translate&amp;Prices&amp;Logo'!$B$117</f>
        <v xml:space="preserve">Lustro grafit </v>
      </c>
    </row>
    <row r="99" spans="1:6">
      <c r="A99" t="str">
        <f>'Translate&amp;Prices&amp;Logo'!$B$107</f>
        <v xml:space="preserve">Satinato grafit  Decormat grafit </v>
      </c>
      <c r="B99" t="str">
        <f>'Translate&amp;Prices&amp;Logo'!$B$126</f>
        <v xml:space="preserve">Lacobel RAL 1013 </v>
      </c>
      <c r="C99" t="str">
        <f>'Translate&amp;Prices&amp;Logo'!$B$112</f>
        <v xml:space="preserve">MASTER FLEX </v>
      </c>
      <c r="E99" t="str">
        <f>'Translate&amp;Prices&amp;Logo'!$B$126</f>
        <v xml:space="preserve">Lacobel RAL 1013 </v>
      </c>
      <c r="F99" t="str">
        <f>'Translate&amp;Prices&amp;Logo'!$B$126</f>
        <v xml:space="preserve">Lacobel RAL 1013 </v>
      </c>
    </row>
    <row r="100" spans="1:6">
      <c r="A100" t="str">
        <f>'Translate&amp;Prices&amp;Logo'!$B$105</f>
        <v xml:space="preserve">MASTER SOFT </v>
      </c>
      <c r="B100" t="str">
        <f>'Translate&amp;Prices&amp;Logo'!$B$127</f>
        <v xml:space="preserve">Lacobel RAL 1015 </v>
      </c>
      <c r="C100" t="str">
        <f>'Translate&amp;Prices&amp;Logo'!$B$118</f>
        <v xml:space="preserve">VISIOSUN poziomo </v>
      </c>
      <c r="E100" t="str">
        <f>'Translate&amp;Prices&amp;Logo'!$B$127</f>
        <v xml:space="preserve">Lacobel RAL 1015 </v>
      </c>
      <c r="F100" t="str">
        <f>'Translate&amp;Prices&amp;Logo'!$B$127</f>
        <v xml:space="preserve">Lacobel RAL 1015 </v>
      </c>
    </row>
    <row r="101" spans="1:6">
      <c r="A101" t="str">
        <f>'Translate&amp;Prices&amp;Logo'!$B$112</f>
        <v xml:space="preserve">MASTER FLEX </v>
      </c>
      <c r="B101" t="str">
        <f>'Translate&amp;Prices&amp;Logo'!$B$133</f>
        <v xml:space="preserve">Lacobel RAL 7035 </v>
      </c>
      <c r="C101" t="str">
        <f>'Translate&amp;Prices&amp;Logo'!$B$129</f>
        <v xml:space="preserve">VISIOSUN pionowo </v>
      </c>
      <c r="E101" t="str">
        <f>'Translate&amp;Prices&amp;Logo'!$B$133</f>
        <v xml:space="preserve">Lacobel RAL 7035 </v>
      </c>
      <c r="F101" t="str">
        <f>'Translate&amp;Prices&amp;Logo'!$B$133</f>
        <v xml:space="preserve">Lacobel RAL 7035 </v>
      </c>
    </row>
    <row r="102" spans="1:6">
      <c r="A102" t="str">
        <f>'Translate&amp;Prices&amp;Logo'!$B$120</f>
        <v xml:space="preserve">Master (Carre) </v>
      </c>
      <c r="B102" t="str">
        <f>'Translate&amp;Prices&amp;Logo'!$B$135</f>
        <v xml:space="preserve">Lacobel RAL 9003 </v>
      </c>
      <c r="C102" t="str">
        <f>'Translate&amp;Prices&amp;Logo'!$B$130</f>
        <v xml:space="preserve">VISIOSUN satyna pionowo </v>
      </c>
      <c r="E102" t="str">
        <f>'Translate&amp;Prices&amp;Logo'!$B$135</f>
        <v xml:space="preserve">Lacobel RAL 9003 </v>
      </c>
      <c r="F102" t="str">
        <f>'Translate&amp;Prices&amp;Logo'!$B$135</f>
        <v xml:space="preserve">Lacobel RAL 9003 </v>
      </c>
    </row>
    <row r="103" spans="1:6">
      <c r="A103" t="str">
        <f>'Translate&amp;Prices&amp;Logo'!$B$121</f>
        <v xml:space="preserve">Master  Ligne poziomo </v>
      </c>
      <c r="B103" t="str">
        <f>'Translate&amp;Prices&amp;Logo'!$B$136</f>
        <v xml:space="preserve">Lacobel RAL 9005 </v>
      </c>
      <c r="C103" t="str">
        <f>'Translate&amp;Prices&amp;Logo'!$B$131</f>
        <v xml:space="preserve">VISIOSUN satyna poziomo </v>
      </c>
      <c r="E103" t="str">
        <f>'Translate&amp;Prices&amp;Logo'!$B$136</f>
        <v xml:space="preserve">Lacobel RAL 9005 </v>
      </c>
      <c r="F103" t="str">
        <f>'Translate&amp;Prices&amp;Logo'!$B$136</f>
        <v xml:space="preserve">Lacobel RAL 9005 </v>
      </c>
    </row>
    <row r="104" spans="1:6">
      <c r="A104" t="str">
        <f>'Translate&amp;Prices&amp;Logo'!$B$125</f>
        <v xml:space="preserve">Master  Ligne pionowo </v>
      </c>
      <c r="B104" t="str">
        <f>'Translate&amp;Prices&amp;Logo'!$B$137</f>
        <v xml:space="preserve">Lacobel RAL 9006 </v>
      </c>
      <c r="C104" t="str">
        <f>'Translate&amp;Prices&amp;Logo'!$B$123</f>
        <v xml:space="preserve">FLUTES poziomo </v>
      </c>
      <c r="E104" t="str">
        <f>'Translate&amp;Prices&amp;Logo'!$B$137</f>
        <v xml:space="preserve">Lacobel RAL 9006 </v>
      </c>
      <c r="F104" t="str">
        <f>'Translate&amp;Prices&amp;Logo'!$B$137</f>
        <v xml:space="preserve">Lacobel RAL 9006 </v>
      </c>
    </row>
    <row r="105" spans="1:6">
      <c r="A105" t="str">
        <f>'Translate&amp;Prices&amp;Logo'!$B$122</f>
        <v xml:space="preserve">Master  Point </v>
      </c>
      <c r="B105" t="str">
        <f>'Translate&amp;Prices&amp;Logo'!$B$138</f>
        <v xml:space="preserve">Lacobel RAL 9007 </v>
      </c>
      <c r="C105" t="str">
        <f>'Translate&amp;Prices&amp;Logo'!$B$128</f>
        <v xml:space="preserve">FLUTES pionowo </v>
      </c>
      <c r="E105" t="str">
        <f>'Translate&amp;Prices&amp;Logo'!$B$138</f>
        <v xml:space="preserve">Lacobel RAL 9007 </v>
      </c>
      <c r="F105" t="str">
        <f>'Translate&amp;Prices&amp;Logo'!$B$138</f>
        <v xml:space="preserve">Lacobel RAL 9007 </v>
      </c>
    </row>
    <row r="106" spans="1:6">
      <c r="A106" t="str">
        <f>'Translate&amp;Prices&amp;Logo'!$B$108</f>
        <v>Masterscreen - maksymalne wymiary 2160 x 1650 mm</v>
      </c>
      <c r="B106" t="str">
        <f>'Translate&amp;Prices&amp;Logo'!$B$139</f>
        <v xml:space="preserve">Lacobel RAL 9010 </v>
      </c>
      <c r="C106" t="str">
        <f>'Translate&amp;Prices&amp;Logo'!$B$104</f>
        <v xml:space="preserve">Satinato </v>
      </c>
      <c r="E106" t="str">
        <f>'Translate&amp;Prices&amp;Logo'!$B$139</f>
        <v xml:space="preserve">Lacobel RAL 9010 </v>
      </c>
      <c r="F106" t="str">
        <f>'Translate&amp;Prices&amp;Logo'!$B$139</f>
        <v xml:space="preserve">Lacobel RAL 9010 </v>
      </c>
    </row>
    <row r="107" spans="1:6">
      <c r="A107" t="str">
        <f>'Translate&amp;Prices&amp;Logo'!$B$109</f>
        <v xml:space="preserve">Venus VG10 </v>
      </c>
      <c r="B107" t="str">
        <f>'Translate&amp;Prices&amp;Logo'!$B$154</f>
        <v xml:space="preserve">Matelac RAL 9003 </v>
      </c>
      <c r="C107" t="str">
        <f>'Translate&amp;Prices&amp;Logo'!$B$106</f>
        <v xml:space="preserve">Satinato brązowe/Decormat Braz </v>
      </c>
      <c r="E107" t="str">
        <f>'Translate&amp;Prices&amp;Logo'!$B$154</f>
        <v xml:space="preserve">Matelac RAL 9003 </v>
      </c>
      <c r="F107" t="str">
        <f>'Translate&amp;Prices&amp;Logo'!$B$154</f>
        <v xml:space="preserve">Matelac RAL 9003 </v>
      </c>
    </row>
    <row r="108" spans="1:6">
      <c r="A108" t="str">
        <f>'Translate&amp;Prices&amp;Logo'!$B$110</f>
        <v>Stopsol brąz - maksymalne wymiary 2250 x 1605 mm</v>
      </c>
      <c r="B108" t="str">
        <f>'Translate&amp;Prices&amp;Logo'!$B$155</f>
        <v xml:space="preserve">Matelac RAL 9005 </v>
      </c>
      <c r="C108" t="str">
        <f>'Translate&amp;Prices&amp;Logo'!$B$107</f>
        <v xml:space="preserve">Satinato grafit  Decormat grafit </v>
      </c>
      <c r="E108" t="str">
        <f>'Translate&amp;Prices&amp;Logo'!$B$155</f>
        <v xml:space="preserve">Matelac RAL 9005 </v>
      </c>
      <c r="F108" t="str">
        <f>'Translate&amp;Prices&amp;Logo'!$B$155</f>
        <v xml:space="preserve">Matelac RAL 9005 </v>
      </c>
    </row>
    <row r="109" spans="1:6">
      <c r="A109" t="str">
        <f>'Translate&amp;Prices&amp;Logo'!$B$113</f>
        <v xml:space="preserve">Antisol brąz </v>
      </c>
      <c r="B109" t="str">
        <f>'Translate&amp;Prices&amp;Logo'!$B$160</f>
        <v>Matelac lustro bronz</v>
      </c>
      <c r="C109" t="str">
        <f>'Translate&amp;Prices&amp;Logo'!$B$108</f>
        <v>Masterscreen - maksymalne wymiary 2160 x 1650 mm</v>
      </c>
      <c r="E109" t="str">
        <f>'Translate&amp;Prices&amp;Logo'!$B$160</f>
        <v>Matelac lustro bronz</v>
      </c>
      <c r="F109" t="str">
        <f>'Translate&amp;Prices&amp;Logo'!$B$160</f>
        <v>Matelac lustro bronz</v>
      </c>
    </row>
    <row r="110" spans="1:6">
      <c r="A110" t="str">
        <f>'Translate&amp;Prices&amp;Logo'!$B$114</f>
        <v xml:space="preserve">Antisol grafit </v>
      </c>
      <c r="B110" t="str">
        <f>'Translate&amp;Prices&amp;Logo'!$B$162</f>
        <v>Matelac lustro grafit</v>
      </c>
      <c r="C110" t="str">
        <f>'Translate&amp;Prices&amp;Logo'!$B$109</f>
        <v xml:space="preserve">Venus VG10 </v>
      </c>
      <c r="E110" t="str">
        <f>'Translate&amp;Prices&amp;Logo'!$B$162</f>
        <v>Matelac lustro grafit</v>
      </c>
      <c r="F110" t="str">
        <f>'Translate&amp;Prices&amp;Logo'!$B$162</f>
        <v>Matelac lustro grafit</v>
      </c>
    </row>
    <row r="111" spans="1:6">
      <c r="A111" t="str">
        <f>'Translate&amp;Prices&amp;Logo'!$B$115</f>
        <v xml:space="preserve">Lustro </v>
      </c>
      <c r="B111" t="str">
        <f>'Translate&amp;Prices&amp;Logo'!$B$163</f>
        <v>Matelac lustro srebrny</v>
      </c>
      <c r="C111" t="str">
        <f>'Translate&amp;Prices&amp;Logo'!$B$110</f>
        <v>Stopsol brąz - maksymalne wymiary 2250 x 1605 mm</v>
      </c>
      <c r="E111" t="str">
        <f>'Translate&amp;Prices&amp;Logo'!$B$163</f>
        <v>Matelac lustro srebrny</v>
      </c>
      <c r="F111" t="str">
        <f>'Translate&amp;Prices&amp;Logo'!$B$163</f>
        <v>Matelac lustro srebrny</v>
      </c>
    </row>
    <row r="112" spans="1:6">
      <c r="A112" t="str">
        <f>'Translate&amp;Prices&amp;Logo'!$B$116</f>
        <v xml:space="preserve">Lustro brązowe </v>
      </c>
      <c r="C112" t="str">
        <f>'Translate&amp;Prices&amp;Logo'!$B$113</f>
        <v xml:space="preserve">Antisol brąz </v>
      </c>
    </row>
    <row r="113" spans="1:3">
      <c r="A113" t="str">
        <f>'Translate&amp;Prices&amp;Logo'!$B$117</f>
        <v xml:space="preserve">Lustro grafit </v>
      </c>
      <c r="C113" t="str">
        <f>'Translate&amp;Prices&amp;Logo'!$B$114</f>
        <v xml:space="preserve">Antisol grafit </v>
      </c>
    </row>
    <row r="114" spans="1:3">
      <c r="A114" t="str">
        <f>'Translate&amp;Prices&amp;Logo'!$B$118</f>
        <v xml:space="preserve">VISIOSUN poziomo </v>
      </c>
      <c r="C114" t="str">
        <f>'Translate&amp;Prices&amp;Logo'!$B$119</f>
        <v>Krizet - maksymalne wymiary 2130 x 1650 mm</v>
      </c>
    </row>
    <row r="115" spans="1:3">
      <c r="A115" t="str">
        <f>'Translate&amp;Prices&amp;Logo'!$B$129</f>
        <v xml:space="preserve">VISIOSUN pionowo </v>
      </c>
      <c r="C115" t="str">
        <f>'Translate&amp;Prices&amp;Logo'!$B$120</f>
        <v xml:space="preserve">Master (Carre) </v>
      </c>
    </row>
    <row r="116" spans="1:3">
      <c r="A116" t="str">
        <f>'Translate&amp;Prices&amp;Logo'!$B$131</f>
        <v xml:space="preserve">VISIOSUN satyna poziomo </v>
      </c>
      <c r="C116" t="str">
        <f>'Translate&amp;Prices&amp;Logo'!$B$121</f>
        <v xml:space="preserve">Master  Ligne poziomo </v>
      </c>
    </row>
    <row r="117" spans="1:3">
      <c r="A117" t="str">
        <f>'Translate&amp;Prices&amp;Logo'!$B$130</f>
        <v xml:space="preserve">VISIOSUN satyna pionowo </v>
      </c>
      <c r="C117" t="str">
        <f>'Translate&amp;Prices&amp;Logo'!$B$125</f>
        <v xml:space="preserve">Master  Ligne pionowo </v>
      </c>
    </row>
    <row r="118" spans="1:3">
      <c r="A118" t="str">
        <f>'Translate&amp;Prices&amp;Logo'!$B$119</f>
        <v>Krizet - maksymalne wymiary 2130 x 1650 mm</v>
      </c>
      <c r="C118" t="str">
        <f>'Translate&amp;Prices&amp;Logo'!$B$122</f>
        <v xml:space="preserve">Master  Point </v>
      </c>
    </row>
    <row r="119" spans="1:3">
      <c r="A119" t="str">
        <f>'Translate&amp;Prices&amp;Logo'!$B$128</f>
        <v xml:space="preserve">FLUTES pionowo </v>
      </c>
      <c r="C119" t="str">
        <f>'Translate&amp;Prices&amp;Logo'!$B$140</f>
        <v xml:space="preserve">Moru brąz pionowo </v>
      </c>
    </row>
    <row r="120" spans="1:3">
      <c r="A120" t="str">
        <f>'Translate&amp;Prices&amp;Logo'!$B$123</f>
        <v xml:space="preserve">FLUTES poziomo </v>
      </c>
      <c r="C120" t="str">
        <f>'Translate&amp;Prices&amp;Logo'!$B$141</f>
        <v xml:space="preserve">Moru grafit pionowo </v>
      </c>
    </row>
    <row r="121" spans="1:3">
      <c r="A121" t="str">
        <f>'Translate&amp;Prices&amp;Logo'!$B$111</f>
        <v xml:space="preserve">Lakomat </v>
      </c>
      <c r="C121" t="str">
        <f>'Translate&amp;Prices&amp;Logo'!$B$144</f>
        <v xml:space="preserve">Moru brąz poziomo </v>
      </c>
    </row>
    <row r="122" spans="1:3">
      <c r="A122" t="str">
        <f>'Translate&amp;Prices&amp;Logo'!$B$126</f>
        <v xml:space="preserve">Lacobel RAL 1013 </v>
      </c>
      <c r="C122" t="str">
        <f>'Translate&amp;Prices&amp;Logo'!$B$145</f>
        <v xml:space="preserve">Moru grafit poziomo </v>
      </c>
    </row>
    <row r="123" spans="1:3">
      <c r="A123" t="str">
        <f>'Translate&amp;Prices&amp;Logo'!$B$127</f>
        <v xml:space="preserve">Lacobel RAL 1015 </v>
      </c>
    </row>
    <row r="124" spans="1:3">
      <c r="A124" t="str">
        <f>'Translate&amp;Prices&amp;Logo'!$B$133</f>
        <v xml:space="preserve">Lacobel RAL 7035 </v>
      </c>
    </row>
    <row r="125" spans="1:3">
      <c r="A125" t="str">
        <f>'Translate&amp;Prices&amp;Logo'!$B$135</f>
        <v xml:space="preserve">Lacobel RAL 9003 </v>
      </c>
    </row>
    <row r="126" spans="1:3">
      <c r="A126" t="str">
        <f>'Translate&amp;Prices&amp;Logo'!$B$136</f>
        <v xml:space="preserve">Lacobel RAL 9005 </v>
      </c>
    </row>
    <row r="127" spans="1:3">
      <c r="A127" t="str">
        <f>'Translate&amp;Prices&amp;Logo'!$B$137</f>
        <v xml:space="preserve">Lacobel RAL 9006 </v>
      </c>
    </row>
    <row r="128" spans="1:3">
      <c r="A128" t="str">
        <f>'Translate&amp;Prices&amp;Logo'!$B$138</f>
        <v xml:space="preserve">Lacobel RAL 9007 </v>
      </c>
    </row>
    <row r="129" spans="1:1">
      <c r="A129" t="str">
        <f>'Translate&amp;Prices&amp;Logo'!$B$139</f>
        <v xml:space="preserve">Lacobel RAL 9010 </v>
      </c>
    </row>
    <row r="130" spans="1:1">
      <c r="A130" t="str">
        <f>'Translate&amp;Prices&amp;Logo'!$B$154</f>
        <v xml:space="preserve">Matelac RAL 9003 </v>
      </c>
    </row>
    <row r="131" spans="1:1">
      <c r="A131" t="str">
        <f>'Translate&amp;Prices&amp;Logo'!$B$155</f>
        <v xml:space="preserve">Matelac RAL 9005 </v>
      </c>
    </row>
    <row r="132" spans="1:1">
      <c r="A132" t="str">
        <f>'Translate&amp;Prices&amp;Logo'!$B$160</f>
        <v>Matelac lustro bronz</v>
      </c>
    </row>
    <row r="133" spans="1:1">
      <c r="A133" t="str">
        <f>'Translate&amp;Prices&amp;Logo'!$B$162</f>
        <v>Matelac lustro grafit</v>
      </c>
    </row>
    <row r="134" spans="1:1">
      <c r="A134" t="str">
        <f>'Translate&amp;Prices&amp;Logo'!$B$163</f>
        <v>Matelac lustro srebrny</v>
      </c>
    </row>
    <row r="135" spans="1:1">
      <c r="A135" t="str">
        <f>'Translate&amp;Prices&amp;Logo'!$B$161</f>
        <v>Optiwhite</v>
      </c>
    </row>
    <row r="136" spans="1:1">
      <c r="A136" t="str">
        <f>'Translate&amp;Prices&amp;Logo'!$B$140</f>
        <v xml:space="preserve">Moru brąz pionowo </v>
      </c>
    </row>
    <row r="137" spans="1:1">
      <c r="A137" t="str">
        <f>'Translate&amp;Prices&amp;Logo'!$B$141</f>
        <v xml:space="preserve">Moru grafit pionowo </v>
      </c>
    </row>
    <row r="138" spans="1:1">
      <c r="A138" t="str">
        <f>'Translate&amp;Prices&amp;Logo'!$B$144</f>
        <v xml:space="preserve">Moru brąz poziomo </v>
      </c>
    </row>
    <row r="139" spans="1:1">
      <c r="A139" t="str">
        <f>'Translate&amp;Prices&amp;Logo'!$B$145</f>
        <v xml:space="preserve">Moru grafit poziomo </v>
      </c>
    </row>
    <row r="204" spans="1:2">
      <c r="A204">
        <v>1</v>
      </c>
      <c r="B204" t="s">
        <v>2299</v>
      </c>
    </row>
    <row r="205" spans="1:2">
      <c r="A205">
        <v>2</v>
      </c>
      <c r="B205" t="s">
        <v>2300</v>
      </c>
    </row>
    <row r="206" spans="1:2">
      <c r="A206">
        <v>3</v>
      </c>
      <c r="B206" t="s">
        <v>2301</v>
      </c>
    </row>
    <row r="207" spans="1:2">
      <c r="A207">
        <v>4</v>
      </c>
      <c r="B207" t="s">
        <v>2302</v>
      </c>
    </row>
    <row r="208" spans="1:2">
      <c r="A208">
        <v>5</v>
      </c>
      <c r="B208" t="s">
        <v>2300</v>
      </c>
    </row>
    <row r="209" spans="1:2">
      <c r="A209">
        <v>6</v>
      </c>
      <c r="B209" t="s">
        <v>2300</v>
      </c>
    </row>
  </sheetData>
  <phoneticPr fontId="15" type="noConversion"/>
  <conditionalFormatting sqref="A94 A98:A103">
    <cfRule type="expression" dxfId="881" priority="3" stopIfTrue="1">
      <formula>AND(COUNTIF($Q$68:$Q$65536, A94)+COUNTIF($Q$2:$Q$2, A94)+COUNTIF($Q$4:$Q$4, A94)+COUNTIF($Q$6:$Q$54, A94)&gt;1,NOT(ISBLANK(A94)))</formula>
    </cfRule>
  </conditionalFormatting>
  <conditionalFormatting sqref="A96 A105:A110 A112:A113 A118:A139 C119:C122">
    <cfRule type="expression" dxfId="880" priority="21" stopIfTrue="1">
      <formula>AND(COUNTIF($Q$68:$Q$65536, A96)+COUNTIF($Q$2:$Q$2, A96)+COUNTIF($Q$4:$Q$4, A96)+COUNTIF($Q$6:$Q$54, A96)&gt;1,NOT(ISBLANK(A96)))</formula>
    </cfRule>
  </conditionalFormatting>
  <conditionalFormatting sqref="B94">
    <cfRule type="expression" dxfId="879" priority="2" stopIfTrue="1">
      <formula>AND(COUNTIF($R$2:$R$2, B94)+COUNTIF($R$63:$R$65536, B94)+COUNTIF($R$49:$R$61, B94)&gt;1,NOT(ISBLANK(B94)))</formula>
    </cfRule>
  </conditionalFormatting>
  <conditionalFormatting sqref="B96:B98">
    <cfRule type="duplicateValues" dxfId="878" priority="14"/>
  </conditionalFormatting>
  <conditionalFormatting sqref="B100">
    <cfRule type="duplicateValues" dxfId="877" priority="563"/>
  </conditionalFormatting>
  <conditionalFormatting sqref="B101">
    <cfRule type="duplicateValues" dxfId="876" priority="13"/>
  </conditionalFormatting>
  <conditionalFormatting sqref="B102:B109 B121:B125">
    <cfRule type="duplicateValues" dxfId="875" priority="20"/>
  </conditionalFormatting>
  <conditionalFormatting sqref="B110:B111 B129:B131 B126">
    <cfRule type="duplicateValues" dxfId="874" priority="15"/>
  </conditionalFormatting>
  <conditionalFormatting sqref="B113:B115">
    <cfRule type="duplicateValues" dxfId="873" priority="12"/>
  </conditionalFormatting>
  <conditionalFormatting sqref="C96">
    <cfRule type="duplicateValues" dxfId="872" priority="11"/>
  </conditionalFormatting>
  <conditionalFormatting sqref="C104 C98:C100">
    <cfRule type="duplicateValues" dxfId="871" priority="25"/>
  </conditionalFormatting>
  <conditionalFormatting sqref="C106:C111">
    <cfRule type="duplicateValues" dxfId="870" priority="10"/>
  </conditionalFormatting>
  <conditionalFormatting sqref="C112:C113">
    <cfRule type="duplicateValues" dxfId="869" priority="9"/>
  </conditionalFormatting>
  <conditionalFormatting sqref="C114:C118">
    <cfRule type="duplicateValues" dxfId="868" priority="570"/>
  </conditionalFormatting>
  <conditionalFormatting sqref="C123:C139">
    <cfRule type="duplicateValues" dxfId="867" priority="24"/>
  </conditionalFormatting>
  <conditionalFormatting sqref="D96">
    <cfRule type="duplicateValues" dxfId="866" priority="8"/>
  </conditionalFormatting>
  <conditionalFormatting sqref="E96:E98">
    <cfRule type="duplicateValues" dxfId="865" priority="7"/>
  </conditionalFormatting>
  <conditionalFormatting sqref="E99:E106 E118:E122">
    <cfRule type="duplicateValues" dxfId="864" priority="22"/>
  </conditionalFormatting>
  <conditionalFormatting sqref="E107:E108 E123:E124">
    <cfRule type="duplicateValues" dxfId="863" priority="16"/>
  </conditionalFormatting>
  <conditionalFormatting sqref="E109:E111">
    <cfRule type="duplicateValues" dxfId="862" priority="6"/>
  </conditionalFormatting>
  <conditionalFormatting sqref="F96:F98">
    <cfRule type="duplicateValues" dxfId="861" priority="5"/>
  </conditionalFormatting>
  <conditionalFormatting sqref="F109:F111">
    <cfRule type="duplicateValues" dxfId="860" priority="4"/>
  </conditionalFormatting>
  <conditionalFormatting sqref="F113:F122 F99:F106">
    <cfRule type="duplicateValues" dxfId="859" priority="23"/>
  </conditionalFormatting>
  <conditionalFormatting sqref="F123:F124 F107:F108">
    <cfRule type="duplicateValues" dxfId="858" priority="17"/>
  </conditionalFormatting>
  <conditionalFormatting sqref="BQ2:BR2">
    <cfRule type="duplicateValues" dxfId="857"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workbookViewId="0">
      <selection activeCell="H8" sqref="H8:Q8"/>
    </sheetView>
  </sheetViews>
  <sheetFormatPr defaultColWidth="0" defaultRowHeight="15" zeroHeight="1"/>
  <cols>
    <col min="1" max="1" width="3.42578125" style="198" customWidth="1"/>
    <col min="2" max="2" width="5.5703125" style="198" customWidth="1"/>
    <col min="3" max="3" width="5.5703125" style="169" customWidth="1"/>
    <col min="4" max="4" width="14.7109375" style="169" customWidth="1"/>
    <col min="5" max="5" width="5.42578125" style="169" customWidth="1"/>
    <col min="6" max="6" width="8.7109375" style="169" customWidth="1"/>
    <col min="7" max="7" width="5.5703125" style="169" customWidth="1"/>
    <col min="8" max="8" width="6" style="169" customWidth="1"/>
    <col min="9" max="13" width="6.28515625" style="169" customWidth="1"/>
    <col min="14" max="16" width="6.140625"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"&amp;1</f>
        <v>Ramka  1</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Wprowadzenie</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IFERROR(IF(kombinace_1!FC2=TRUE,'Translate&amp;Prices&amp;Logo'!B654,IF(VLOOKUP(H8,kombinace_1!$A:$E,5,0)=3,'Translate&amp;Prices&amp;Logo'!B642,"")),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Ramka  1</v>
      </c>
      <c r="C5" s="687"/>
      <c r="D5" s="687"/>
      <c r="E5" s="163"/>
      <c r="F5" s="687" t="str">
        <f>'Translate&amp;Prices&amp;Logo'!$B$169&amp;" "&amp;" "&amp;2</f>
        <v>Ramka  2</v>
      </c>
      <c r="G5" s="687"/>
      <c r="H5" s="687"/>
      <c r="I5" s="15"/>
      <c r="J5" s="687" t="str">
        <f>'Translate&amp;Prices&amp;Logo'!$B$169&amp;" "&amp;" "&amp;3</f>
        <v>Ramka  3</v>
      </c>
      <c r="K5" s="687"/>
      <c r="L5" s="687"/>
      <c r="M5" s="15"/>
      <c r="N5" s="687" t="str">
        <f>'Translate&amp;Prices&amp;Logo'!$B$169&amp;" "&amp;" "&amp;4</f>
        <v>Ramka  4</v>
      </c>
      <c r="O5" s="687"/>
      <c r="P5" s="687"/>
      <c r="Q5" s="15"/>
      <c r="R5" s="687" t="str">
        <f>'Translate&amp;Prices&amp;Logo'!$B$169&amp;" "&amp;" "&amp;5</f>
        <v>Ramka  5</v>
      </c>
      <c r="S5" s="687"/>
      <c r="T5" s="687"/>
      <c r="U5" s="15"/>
      <c r="V5" s="687" t="str">
        <f>'Translate&amp;Prices&amp;Logo'!$B$169&amp;" "&amp;" "&amp;6</f>
        <v>Ramka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Połączenie 2 profili</v>
      </c>
      <c r="C7" s="720"/>
      <c r="D7" s="720"/>
      <c r="E7" s="720"/>
      <c r="F7" s="720"/>
      <c r="G7" s="669" t="str">
        <f>IF(kombinace_1!FC2=TRUE,AB4,"")</f>
        <v/>
      </c>
      <c r="H7" s="669"/>
      <c r="I7" s="669"/>
      <c r="J7" s="669"/>
      <c r="K7" s="669"/>
      <c r="L7" s="669"/>
      <c r="M7" s="669"/>
      <c r="N7" s="669"/>
      <c r="O7" s="669"/>
      <c r="P7" s="669"/>
      <c r="Q7" s="670"/>
      <c r="R7" s="289"/>
      <c r="S7" s="655" t="str">
        <f>'Translate&amp;Prices&amp;Logo'!$B$572</f>
        <v>Ważne informacje:</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t="e">
        <f>VLOOKUP(H8,kombinace_1!$A:$B,2,0)</f>
        <v>#N/A</v>
      </c>
      <c r="AV7" s="198" t="e">
        <f>IF(AU7=2,"Široký",IF(AU7=1,"Úzký",IF(AU7=3,"kombo")))</f>
        <v>#N/A</v>
      </c>
    </row>
    <row r="8" spans="1:65" ht="45.6" customHeight="1">
      <c r="A8" s="118"/>
      <c r="B8" s="281" t="str">
        <f>'Translate&amp;Prices&amp;Logo'!$B$653</f>
        <v>Wypełnienie z siatki</v>
      </c>
      <c r="C8" s="282"/>
      <c r="D8" s="282"/>
      <c r="E8" s="283" t="str">
        <f>'Translate&amp;Prices&amp;Logo'!$B$172</f>
        <v>Rodzaj profilu</v>
      </c>
      <c r="F8" s="283"/>
      <c r="G8" s="288"/>
      <c r="H8" s="721"/>
      <c r="I8" s="721"/>
      <c r="J8" s="721"/>
      <c r="K8" s="721"/>
      <c r="L8" s="721"/>
      <c r="M8" s="721"/>
      <c r="N8" s="721"/>
      <c r="O8" s="721"/>
      <c r="P8" s="721"/>
      <c r="Q8" s="722"/>
      <c r="R8" s="290"/>
      <c r="S8" s="706">
        <f>IF(AU10&gt;0,'Translate&amp;Prices&amp;Logo'!B303,IF(H8=kombinace_1!A54,'Translate&amp;Prices&amp;Logo'!B580,0))</f>
        <v>0</v>
      </c>
      <c r="T8" s="707"/>
      <c r="U8" s="707"/>
      <c r="V8" s="707"/>
      <c r="W8" s="707"/>
      <c r="X8" s="707"/>
      <c r="Y8" s="708"/>
      <c r="Z8" s="137"/>
      <c r="AA8" s="133"/>
      <c r="AB8" s="15"/>
      <c r="AC8" s="637" t="str">
        <f>'Translate&amp;Prices&amp;Logo'!$B$242</f>
        <v>Odległość od krawędzi</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IFERROR(IF(AND(VLOOKUP(H8,kombinace_1!$A:$D,4,0)=1,kombinace_1!FC2=FALSE),'Translate&amp;Prices&amp;Logo'!$B$543,0),0)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Rozstaw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IFERROR((VLOOKUP(H12,kombinace_1!$DP$2:$DQ$3,2,0)),"")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Odległość od górnej krawędzi</v>
      </c>
      <c r="AF10" s="15"/>
      <c r="AG10" s="15"/>
      <c r="AH10" s="15"/>
      <c r="AI10" s="117"/>
      <c r="AJ10" s="118"/>
      <c r="AK10" s="15"/>
      <c r="AL10" s="15"/>
      <c r="AM10" s="15"/>
      <c r="AN10" s="15"/>
      <c r="AO10" s="15"/>
      <c r="AP10" s="134"/>
      <c r="AQ10" s="373"/>
      <c r="AR10" s="15"/>
      <c r="AS10" s="15"/>
      <c r="AT10" s="197" t="s">
        <v>1306</v>
      </c>
      <c r="AU10" s="198">
        <f>IFERROR(VLOOKUP(H9,kombinace_1!$BY$13:$BZ$15,2,0),0)</f>
        <v>0</v>
      </c>
      <c r="AV10" s="198"/>
    </row>
    <row r="11" spans="1:65" ht="18" customHeight="1">
      <c r="A11" s="118"/>
      <c r="B11" s="695" t="str">
        <f>('Translate&amp;Prices&amp;Logo'!$B$543)&amp;" "&amp;"("&amp;'Translate&amp;Prices&amp;Logo'!$B$174&amp;")"</f>
        <v>Szprosy (Ilość sztuk)</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IFERROR(IF(kombinace_1!$H$1=TRUE,BA2+AY3,0),0)</f>
        <v>0</v>
      </c>
      <c r="AU11" s="204"/>
      <c r="AV11" s="198"/>
    </row>
    <row r="12" spans="1:65" ht="18" customHeight="1">
      <c r="A12" s="118"/>
      <c r="B12" s="638" t="str">
        <f>'Translate&amp;Prices&amp;Logo'!$B$258</f>
        <v>Typ okucia</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Marka okucia</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Rozstaw  mm</v>
      </c>
      <c r="AE14" s="645"/>
      <c r="AF14" s="15"/>
      <c r="AG14" s="15"/>
      <c r="AH14" s="15"/>
      <c r="AI14" s="117"/>
      <c r="AJ14" s="118"/>
      <c r="AK14" s="15"/>
      <c r="AL14" s="15"/>
      <c r="AM14" s="682" t="str">
        <f>('Translate&amp;Prices&amp;Logo'!$B$548)&amp;" "&amp;H26&amp;" "&amp;"mm"</f>
        <v>Rozstaw  mm</v>
      </c>
      <c r="AN14" s="15"/>
      <c r="AO14" s="138"/>
      <c r="AP14" s="131"/>
      <c r="AQ14" s="373"/>
      <c r="AR14" s="729"/>
      <c r="AS14" s="15"/>
      <c r="AT14" s="204"/>
      <c r="AU14" s="198"/>
      <c r="AV14" s="198"/>
      <c r="AW14" s="223" t="s">
        <v>2322</v>
      </c>
    </row>
    <row r="15" spans="1:65" ht="18" customHeight="1" thickBot="1">
      <c r="A15" s="118"/>
      <c r="B15" s="638" t="str">
        <f>'Translate&amp;Prices&amp;Logo'!$B$545</f>
        <v>Wariant okucia</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IF(H15=kombinace_1!AB40,'Translate&amp;Prices&amp;Logo'!$B$224,IF(H15=kombinace_1!AB41,'Translate&amp;Prices&amp;Logo'!$B$224,IF(H12='závěsy dle výklopu'!BQ2,'Translate&amp;Prices&amp;Logo'!$B$222,'Translate&amp;Prices&amp;Logo'!$B$218)))</f>
        <v>Wybierz pozycję ramki</v>
      </c>
      <c r="C16" s="694"/>
      <c r="D16" s="694"/>
      <c r="E16" s="694"/>
      <c r="F16" s="692"/>
      <c r="G16" s="692"/>
      <c r="H16" s="692"/>
      <c r="I16" s="692"/>
      <c r="J16" s="712" t="str">
        <f>IF(OR(H15=kombinace_1!AB40,H15=kombinace_1!AB7,H15=kombinace_1!AB15,H15=kombinace_1!AB20,H15=kombinace_1!AB21,H15=kombinace_1!AB22),'Translate&amp;Prices&amp;Logo'!$B$226,IF(H15=kombinace_1!AB41,'Translate&amp;Prices&amp;Logo'!$B$226,'Translate&amp;Prices&amp;Logo'!$B$232))</f>
        <v>Rodzaj drugiej ramki</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IF(H12='Translate&amp;Prices&amp;Logo'!B551,'Translate&amp;Prices&amp;Logo'!B238,IF(H15=kombinace_1!AB8,'Translate&amp;Prices&amp;Logo'!B284,0))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IF(H13="Salice",VLOOKUP(H17,kombinace_1!$BY:$BZ,2,0),0)</f>
        <v>0</v>
      </c>
    </row>
    <row r="18" spans="1:52" ht="18" customHeight="1">
      <c r="A18" s="118"/>
      <c r="B18" s="638">
        <f>IFERROR(IF(VLOOKUP(H15,kombinace_1!CD:CE,2,0)=1,'Translate&amp;Prices&amp;Logo'!$B$547,0),0)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IFERROR(IF(H12='Translate&amp;Prices&amp;Logo'!B551,'Translate&amp;Prices&amp;Logo'!$B$223,IF(VLOOKUP(H15,kombinace_1!CD:CE,2,0)=1,'Translate&amp;Prices&amp;Logo'!$B$223,)),0)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Odległość od dolnej krawędzi</v>
      </c>
      <c r="AM19" s="682"/>
      <c r="AN19" s="673">
        <v>0</v>
      </c>
      <c r="AO19" s="673"/>
      <c r="AP19" s="133"/>
      <c r="AQ19" s="373"/>
      <c r="AR19" s="728" t="str">
        <f>'Translate&amp;Prices&amp;Logo'!$B$176</f>
        <v>Wysokość</v>
      </c>
      <c r="AS19" s="15"/>
      <c r="AT19" s="204"/>
      <c r="AU19" s="196">
        <f>IFERROR(IF(H12='závěsy dle výklopu'!BR2,VLOOKUP(H15,kombinace_1!$CD$3:$CF$18,3,0),IF(H12='závěsy dle výklopu'!BQ2,1,0)),0)</f>
        <v>0</v>
      </c>
      <c r="AV19" s="198">
        <f>IFERROR(VLOOKUP(H15,kombinace_1!$CD:$CF,3,0),0)</f>
        <v>0</v>
      </c>
    </row>
    <row r="20" spans="1:52" ht="18" customHeight="1">
      <c r="A20" s="118"/>
      <c r="B20" s="697">
        <f>IF(H13&lt;&gt;"Salice",(IFERROR('Translate&amp;Prices&amp;Logo'!$B$242&amp;" "&amp;(VLOOKUP(H17,kombinace_1!$BY$32:$CA$35,2,0)),0)),0)</f>
        <v>0</v>
      </c>
      <c r="C20" s="636"/>
      <c r="D20" s="636"/>
      <c r="E20" s="636"/>
      <c r="F20" s="691">
        <v>100</v>
      </c>
      <c r="G20" s="691"/>
      <c r="H20" s="691"/>
      <c r="I20" s="691"/>
      <c r="J20" s="636">
        <f>IFERROR('Translate&amp;Prices&amp;Logo'!$B$242&amp;" "&amp;(VLOOKUP(H17,kombinace_1!$BY$32:$CA$35,3,0)),0)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IF(kombinace_1!FC2=FALSE,'Translate&amp;Prices&amp;Logo'!$B$173," ")</f>
        <v>Rodzaj szkła</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Nie zmieniaj po wybraniu rodzaj szkła/siatka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VLOOKUP(H17,kombinace_1!$BY$3:$BZ$6,2,0)</f>
        <v>#N/A</v>
      </c>
      <c r="AV23" s="198"/>
    </row>
    <row r="24" spans="1:52" ht="18" customHeight="1">
      <c r="A24" s="118"/>
      <c r="B24" s="667" t="str">
        <f>'Translate&amp;Prices&amp;Logo'!$B$562</f>
        <v>Rodzaj folii</v>
      </c>
      <c r="C24" s="668"/>
      <c r="D24" s="668"/>
      <c r="E24" s="668"/>
      <c r="F24" s="668"/>
      <c r="G24" s="155"/>
      <c r="H24" s="684"/>
      <c r="I24" s="684"/>
      <c r="J24" s="684"/>
      <c r="K24" s="684"/>
      <c r="L24" s="684"/>
      <c r="M24" s="684"/>
      <c r="N24" s="684"/>
      <c r="O24" s="684"/>
      <c r="P24" s="684"/>
      <c r="Q24" s="685"/>
      <c r="R24" s="118"/>
      <c r="S24" s="655" t="str">
        <f>'Translate&amp;Prices&amp;Logo'!$B$177</f>
        <v>Uwagi (notatki)</v>
      </c>
      <c r="T24" s="655"/>
      <c r="U24" s="655"/>
      <c r="Z24" s="137"/>
      <c r="AA24" s="135"/>
      <c r="AB24" s="136"/>
      <c r="AC24" s="637" t="str">
        <f>'Translate&amp;Prices&amp;Logo'!$B$242</f>
        <v>Odległość od krawędzi</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Rodzaj szkła/siatka</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Rozstaw  mm</v>
      </c>
      <c r="AG25" s="683"/>
      <c r="AH25" s="683"/>
      <c r="AI25" s="683"/>
      <c r="AJ25" s="683"/>
      <c r="AK25" s="683"/>
      <c r="AL25" s="680"/>
      <c r="AM25" s="681"/>
      <c r="AN25" s="15"/>
      <c r="AO25" s="137"/>
      <c r="AP25" s="140"/>
      <c r="AQ25" s="373"/>
      <c r="AR25" s="15"/>
      <c r="AS25" s="15"/>
      <c r="AT25" s="204"/>
      <c r="AU25" s="198" t="e">
        <f>VLOOKUP(H27,kombinace_1!$BY:$BZ,2,0)</f>
        <v>#N/A</v>
      </c>
      <c r="AV25" s="198"/>
    </row>
    <row r="26" spans="1:52" ht="18" customHeight="1">
      <c r="A26" s="118"/>
      <c r="B26" s="638" t="str">
        <f>'Translate&amp;Prices&amp;Logo'!$B$549</f>
        <v>Rozstaw uchwytu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Umieszczenie uchwytu</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Ilość sztuk</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VLOOKUP(H14,kombinace_1!$DN$7:$DO$24,2,0)</f>
        <v>#N/A</v>
      </c>
      <c r="AB29" s="679">
        <f>IF(kombinace_1!FC2=TRUE,AB4,IF(H12='závěsy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Cena ramek</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zl</v>
      </c>
      <c r="Q30" s="657"/>
      <c r="R30" s="118"/>
      <c r="S30" s="649"/>
      <c r="T30" s="650"/>
      <c r="U30" s="650"/>
      <c r="V30" s="650"/>
      <c r="W30" s="650"/>
      <c r="X30" s="650"/>
      <c r="Y30" s="651"/>
      <c r="Z30" s="15"/>
      <c r="AA30" s="15"/>
      <c r="AB30" s="118"/>
      <c r="AC30" s="15"/>
      <c r="AD30" s="15"/>
      <c r="AE30" s="15"/>
      <c r="AF30" s="678" t="str">
        <f>'Translate&amp;Prices&amp;Logo'!$B$175</f>
        <v>Szerokość</v>
      </c>
      <c r="AG30" s="678"/>
      <c r="AH30" s="678"/>
      <c r="AI30" s="671"/>
      <c r="AJ30" s="671"/>
      <c r="AK30" s="671"/>
      <c r="AL30" s="15"/>
      <c r="AM30" s="15"/>
      <c r="AN30" s="15"/>
      <c r="AO30" s="15"/>
      <c r="AP30" s="15"/>
      <c r="AQ30" s="15"/>
      <c r="AR30" s="15"/>
      <c r="AS30" s="15"/>
      <c r="AT30" s="204"/>
      <c r="AU30" s="196" t="e">
        <f>HLOOKUP("_Úzký_dolny_K12",kombinace_1!CV2:CW19,3,FALSE)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Podsumowanie</v>
      </c>
      <c r="AP31" s="727"/>
      <c r="AQ31" s="727"/>
      <c r="AR31" s="727"/>
      <c r="AS31" s="15"/>
      <c r="AT31" s="204"/>
      <c r="AU31" s="196" t="e">
        <f>AD44</f>
        <v>#N/A</v>
      </c>
    </row>
    <row r="32" spans="1:52" ht="17.25" customHeight="1">
      <c r="A32" s="118"/>
      <c r="B32" s="688" t="str">
        <f>'Translate&amp;Prices&amp;Logo'!$B$171</f>
        <v>Podane ceny nie zawierają podatku VAT ani nie zawierają ceny okuć!</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 xml:space="preserve">Ramki aluminiowe bez szkła dostarczane są w stanie rozmontowanym. </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IF(kombinace_1!V1=2,((AR14/1000)*(AI30/1000))*'Translate&amp;Prices&amp;Logo'!C94,0)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IF(kombinace_1!$V$1=3,IFERROR(((VLOOKUP(H24,'Translate&amp;Prices&amp;Logo'!B91:C93,2,0))*(AR14/1000)),0),0)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IF(kombinace_1!FC2=TRUE,_profily_síťka,IF(kombinace_1!H1=TRUE,_kombinovane_profily,_vše_profily))</f>
        <v>BRW (elox.) - maksymalna zalecana długość profilu 2500 mm</v>
      </c>
      <c r="L36" s="215" t="str">
        <f t="array" ref="L36:M36">IF(kombinace_1!H1=TRUE,'závěsy dle výklopu'!$BQ$2:$BR$2,
IF(H8=kombinace_1!A34,'závěsy dle výklopu'!$BQ$2,IF(H8=kombinace_1!A35,'závěsy dle výklopu'!$BQ$2,IF(H8=kombinace_1!A55,'závěsy dle výklopu'!$BQ$2,IF(H8=kombinace_1!A56,'závěsy dle výklopu'!$BQ$2,IF(H8=kombinace_1!A57,'závěsy dle výklopu'!$BQ$2,IF(H8=kombinace_1!A58,'závěsy dle výklopu'!$BQ$2,'závěsy dle výklopu'!$BQ$2:$BR$2)))))))</f>
        <v>Zawiasy</v>
      </c>
      <c r="M36" s="215" t="str">
        <v>Podnośniki</v>
      </c>
      <c r="P36" s="215" t="str" cm="1">
        <f t="array" ref="P36:P38">IF(H13=kombinace_1!BQ11,kombinace_1!$DN$2,kombinace_1!$DN$2:$DN$4)</f>
        <v>Nakładany</v>
      </c>
      <c r="T36" s="215">
        <f t="array" aca="1" ref="T36:T44" ca="1">IF(H13=kombinace_1!BQ11,
  kombinace_1!$FA$2:$FA$9,
  IF(AND(OR(H8=kombinace_1!A34,H8=kombinace_1!A35),H13='závěsy dle výklopu'!BQ4),
    INDIRECT(VLOOKUP(AD42&amp;"_Rocca",kombinace_1!$ER$1:$ES$108,2,0)),
    IF($AU$9=2,
      INDIRECT(VLOOKUP(AD42,kombinace_1!$ER$1:$ES$108,2,0)),
      IF($AU$9=3,
        INDIRECT(VLOOKUP($T$47,kombinace_1!$AA$1:$AB$100,2,0)),
      $Y$48)
    )
  )
)</f>
        <v>0</v>
      </c>
      <c r="AF36" s="215" t="e">
        <f>HLOOKUP($AD$44,'závěsy dle výklopu'!$CG$4:$EZ$10,2,0)</f>
        <v>#N/A</v>
      </c>
      <c r="AJ36" s="215">
        <f t="array" ref="AJ36:AJ40">IF(AM19&lt;2100,kombinace_1!BY8:BY12,kombinace_1!BY8:BY12)</f>
        <v>2</v>
      </c>
      <c r="AW36" s="313"/>
      <c r="AX36" s="313"/>
      <c r="AY36" s="313"/>
    </row>
    <row r="37" spans="1:58" s="215" customFormat="1" ht="15" hidden="1" customHeight="1">
      <c r="A37" s="198"/>
      <c r="B37" s="215" t="str">
        <v>BRW bialy matowy RAL 9003 - maksymalna zalecana długość profilu 2500 mm</v>
      </c>
      <c r="P37" s="215" t="e">
        <v>#N/A</v>
      </c>
      <c r="T37" s="215">
        <f ca="1"/>
        <v>0</v>
      </c>
      <c r="W37" s="215" t="str" cm="1">
        <f t="array" ref="W37">IF(Hlavní!$V$39=3,"",'Translate&amp;Prices&amp;Logo'!B556:B557)</f>
        <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bialy połysk RAL 9003 - maksymalna zalecana długość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szczotkowany - maksymalna zalecana długość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Czarny matowy - maksymalna zalecana długość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czarna szczotka - maksymalna zalecana długość profilu 2500 mm</v>
      </c>
      <c r="L41" s="215" t="str">
        <v xml:space="preserve">Kesseböhmer </v>
      </c>
      <c r="T41" s="215">
        <f ca="1"/>
        <v>0</v>
      </c>
      <c r="U41" s="215">
        <f>IF(Hlavní!$V$39=3,1,2)</f>
        <v>1</v>
      </c>
      <c r="AE41" s="215">
        <f>AF41</f>
        <v>0</v>
      </c>
      <c r="AH41" s="339"/>
      <c r="AI41" s="340" t="s">
        <v>3692</v>
      </c>
      <c r="AJ41" s="340" t="s">
        <v>3693</v>
      </c>
      <c r="AS41" s="215" t="s">
        <v>1316</v>
      </c>
      <c r="AW41" s="313"/>
      <c r="AX41" s="313"/>
      <c r="AY41" s="313"/>
    </row>
    <row r="42" spans="1:58" s="215" customFormat="1" ht="18.600000000000001" hidden="1" customHeight="1">
      <c r="A42" s="198"/>
      <c r="B42" s="215" t="str">
        <v>BRW acier grata - maksymalna zalecana długość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antracyt RAL 7021 - maksymalna zalecana długość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maksymalna zalecana długość profilu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light - maksymalna zalecana długość profilu 2500 mm</v>
      </c>
      <c r="M45" s="215" t="s">
        <v>2637</v>
      </c>
      <c r="N45" s="215" t="s">
        <v>1134</v>
      </c>
      <c r="AS45" s="191"/>
      <c r="AW45" s="313"/>
      <c r="AX45" s="313"/>
      <c r="AY45" s="313"/>
    </row>
    <row r="46" spans="1:58" s="215" customFormat="1" ht="14.85" hidden="1" customHeight="1">
      <c r="A46" s="198"/>
      <c r="B46" s="215" t="str">
        <v>BRW brąz - maksymalna zalecana długość profilu 2500 mm</v>
      </c>
      <c r="M46" s="215" t="s">
        <v>4509</v>
      </c>
    </row>
    <row r="47" spans="1:58" s="215" customFormat="1" ht="14.85" hidden="1" customHeight="1">
      <c r="A47" s="198"/>
      <c r="B47" s="215" t="str">
        <v>BRW INOX (stal nierdzewna) - maksymalna zalecana długość profilu 2500 mm</v>
      </c>
      <c r="M47" s="215" t="s">
        <v>4510</v>
      </c>
      <c r="T47" s="215" t="str">
        <f>CONCATENATE(H13,"_",VLOOKUP(kombinace_1!H1,kombinace_1!$J$14:$K$15,2,0))</f>
        <v>_2</v>
      </c>
      <c r="AD47" s="215" t="s">
        <v>4508</v>
      </c>
      <c r="AI47" s="169"/>
      <c r="AJ47" s="335"/>
      <c r="AN47" s="723"/>
      <c r="AO47" s="723"/>
      <c r="AP47" s="723"/>
      <c r="AQ47" s="723"/>
    </row>
    <row r="48" spans="1:58" s="215" customFormat="1" ht="14.85" hidden="1" customHeight="1">
      <c r="A48" s="198"/>
      <c r="B48" s="215" t="str">
        <v>BRW złota- maksymalna zalecana długość profilu 2500 mm</v>
      </c>
      <c r="T48" s="215" t="e">
        <f>VLOOKUP(AD42,kombinace_1!ER:ES,2,0)</f>
        <v>#N/A</v>
      </c>
      <c r="AS48"/>
      <c r="AT48"/>
    </row>
    <row r="49" spans="1:46" s="215" customFormat="1" ht="14.85" hidden="1" customHeight="1">
      <c r="A49" s="198"/>
      <c r="B49" s="215" t="str">
        <v>BRW złota szczotkowany - maksymalna zalecana zalecana długość profilu 2500 mm</v>
      </c>
      <c r="AS49"/>
      <c r="AT49"/>
    </row>
    <row r="50" spans="1:46" s="215" customFormat="1" ht="14.85" hidden="1" customHeight="1">
      <c r="A50" s="198"/>
      <c r="B50" s="215" t="str">
        <v>Corleone (elox.)- maksymalna zalecana długość profilu 1500 mm</v>
      </c>
      <c r="AS50"/>
      <c r="AT50"/>
    </row>
    <row r="51" spans="1:46" s="215" customFormat="1" ht="14.85" hidden="1" customHeight="1">
      <c r="A51" s="198"/>
      <c r="B51" s="215" t="str">
        <v>Corleone czarny matowy - maksymalna zalecana długość profilu 1500 mm</v>
      </c>
      <c r="AS51"/>
      <c r="AT51"/>
    </row>
    <row r="52" spans="1:46" s="215" customFormat="1" ht="14.85" hidden="1" customHeight="1">
      <c r="A52" s="198"/>
      <c r="B52" s="215" t="str">
        <v>ASTI  czarne  - maksymalna zalecana długość profilu 2150</v>
      </c>
      <c r="AS52"/>
      <c r="AT52"/>
    </row>
    <row r="53" spans="1:46" s="215" customFormat="1" ht="14.85" hidden="1" customHeight="1">
      <c r="A53" s="198"/>
      <c r="B53" s="215" t="str">
        <v>ASTI  antracyt mat RAL 7021 mat lakier - maksymalna zalecana długość profilu 2500 mm</v>
      </c>
      <c r="AS53"/>
      <c r="AT53"/>
    </row>
    <row r="54" spans="1:46" s="215" customFormat="1" ht="14.85" hidden="1" customHeight="1">
      <c r="A54" s="198"/>
      <c r="B54" s="215" t="str">
        <v>Imola (elox.) - maksymalna zalecana długość profilu 2500 mm</v>
      </c>
      <c r="K54" s="215" t="str">
        <f t="array" ref="K54:K58">IF(OR($H$15=kombinace_1!AB40,$H$15=kombinace_1!AB7,$H$15=kombinace_1!AB15,$H$15=kombinace_1!AB20,$H$15=kombinace_1!AB21,$H$15=kombinace_1!AB22),'Translate&amp;Prices&amp;Logo'!$B$229:$B$231,IF($H$15=kombinace_1!AB41,'Translate&amp;Prices&amp;Logo'!$B$229:$B$231,'Translate&amp;Prices&amp;Logo'!$B$233:$B$237))</f>
        <v>Wąska ALU ramka</v>
      </c>
      <c r="T54" s="215" t="str">
        <f t="array" ref="T54:T56">kombinace_1!$EN$3:$EN$5</f>
        <v>Bez modyfikacji</v>
      </c>
      <c r="U54" s="215">
        <v>1</v>
      </c>
      <c r="X54" s="215" t="str">
        <f t="array" ref="X54:X56">kombinace_1!$X$3:$X$5</f>
        <v>transparentna</v>
      </c>
      <c r="AD54" s="215" t="e">
        <f t="array" aca="1" ref="AD54:AD97" ca="1">IF(kombinace_1!FC2=FALSE,
IF(OR(H8=kombinace_1!A17,H8=kombinace_1!A18,H8=kombinace_1!A25,H8=kombinace_1!A26,H8=kombinace_1!A27,H8=kombinace_1!A28),_corleone,INDIRECT(kombinace_1!S1)),
IF(kombinace_1!FC2=TRUE,INDIRECT(VLOOKUP(Ram_1!H8,'závěsy dle výklopu'!A81:B90,2,0)),0))</f>
        <v>#N/A</v>
      </c>
      <c r="AS54"/>
      <c r="AT54"/>
    </row>
    <row r="55" spans="1:46" s="215" customFormat="1" ht="14.85" hidden="1" customHeight="1">
      <c r="A55" s="198"/>
      <c r="B55" s="215" t="str">
        <v>Imola Czarny matowy - maksymalna zalecana długość profilu 2500 mm</v>
      </c>
      <c r="K55" s="215" t="str">
        <v>Szeroka ALU ramka</v>
      </c>
      <c r="T55" s="215" t="str">
        <v>Hartowane (termin dostawy 4 tygodnie)</v>
      </c>
      <c r="U55" s="215">
        <v>2</v>
      </c>
      <c r="X55" s="215" t="str">
        <v>Biała</v>
      </c>
      <c r="AD55" s="215" t="e">
        <f ca="1"/>
        <v>#N/A</v>
      </c>
      <c r="AS55"/>
      <c r="AT55"/>
    </row>
    <row r="56" spans="1:46" s="215" customFormat="1" ht="14.85" hidden="1" customHeight="1">
      <c r="A56" s="198"/>
      <c r="B56" s="215" t="str">
        <v>Imola bialy matowy RAL 9003 - maksymalna zalecana długość profilu 2500 mm</v>
      </c>
      <c r="K56" s="215" t="str">
        <v>MDF grubość 16mm</v>
      </c>
      <c r="T56" s="215" t="str">
        <v>Folia</v>
      </c>
      <c r="U56" s="215">
        <v>3</v>
      </c>
      <c r="X56" s="215" t="str">
        <v>czarna</v>
      </c>
      <c r="AD56" s="215" t="e">
        <f ca="1"/>
        <v>#N/A</v>
      </c>
    </row>
    <row r="57" spans="1:46" s="215" customFormat="1" ht="14.85" hidden="1" customHeight="1">
      <c r="A57" s="198"/>
      <c r="B57" s="215" t="str">
        <v>Imola złota - maksymalna zalecana zalecana długość profilu 2150 mm</v>
      </c>
      <c r="K57" s="215" t="str">
        <v>MDF grubość 18mm</v>
      </c>
      <c r="AD57" s="215" t="e">
        <f ca="1"/>
        <v>#N/A</v>
      </c>
    </row>
    <row r="58" spans="1:46" s="215" customFormat="1" ht="14.85" hidden="1" customHeight="1">
      <c r="A58" s="198"/>
      <c r="B58" s="215" t="str">
        <v>Modena (elox.) - maksymalna zalecana długość profilu 2500 mm</v>
      </c>
      <c r="K58" s="215" t="str">
        <v>Płyta melaminowana grubość 18mm</v>
      </c>
      <c r="AD58" s="215" t="e">
        <f ca="1"/>
        <v>#N/A</v>
      </c>
    </row>
    <row r="59" spans="1:46" s="215" customFormat="1" ht="14.85" hidden="1" customHeight="1">
      <c r="A59" s="198"/>
      <c r="B59" s="215" t="str">
        <v>Modena Czarny matowy - maksymalna zalecana długość profilu 2500 mm</v>
      </c>
      <c r="T59" s="215">
        <f>IFERROR(VLOOKUP($H$21,$T$54:$U$56,2,0),0)</f>
        <v>0</v>
      </c>
      <c r="AD59" s="215" t="e">
        <f ca="1"/>
        <v>#N/A</v>
      </c>
    </row>
    <row r="60" spans="1:46" s="215" customFormat="1" ht="14.85" hidden="1" customHeight="1">
      <c r="A60" s="198"/>
      <c r="B60" s="215" t="str">
        <v>Modena czarna szczotka - maksymalna zalecana długość profilu 2500 mm</v>
      </c>
      <c r="K60" s="215" t="b">
        <f>K56=K61</f>
        <v>0</v>
      </c>
      <c r="AD60" s="215" t="e">
        <f ca="1"/>
        <v>#N/A</v>
      </c>
    </row>
    <row r="61" spans="1:46" s="215" customFormat="1" ht="14.85" hidden="1" customHeight="1">
      <c r="A61" s="198"/>
      <c r="B61" s="215" t="str">
        <v>Modena INOX (stal nierdzewna) - maksymalna zalecana długość profilu 2500 mm</v>
      </c>
      <c r="H61" s="215" t="str">
        <f>'Translate&amp;Prices&amp;Logo'!$B$186</f>
        <v>Dolne drzwi</v>
      </c>
      <c r="K61" s="215" t="str">
        <f>'Translate&amp;Prices&amp;Logo'!$B$231</f>
        <v>2 sztuki (obydwie strony)</v>
      </c>
      <c r="AD61" s="215" t="e">
        <f ca="1"/>
        <v>#N/A</v>
      </c>
    </row>
    <row r="62" spans="1:46" s="215" customFormat="1" ht="14.85" hidden="1" customHeight="1">
      <c r="A62" s="198"/>
      <c r="B62" s="215" t="str">
        <v>Pisa (elox.) - maksymalna zalecana długość profilu 2500 mm</v>
      </c>
      <c r="AD62" s="215" t="e">
        <f ca="1"/>
        <v>#N/A</v>
      </c>
    </row>
    <row r="63" spans="1:46" s="215" customFormat="1" ht="14.85" hidden="1" customHeight="1">
      <c r="A63" s="198"/>
      <c r="B63" s="215" t="str">
        <v>Pisa biały matowy RAL 9003 - maksymalna zalecana zalecana długość profilu 2500 mm</v>
      </c>
      <c r="AD63" s="215" t="e">
        <f ca="1"/>
        <v>#N/A</v>
      </c>
    </row>
    <row r="64" spans="1:46" s="215" customFormat="1" ht="14.85" hidden="1" customHeight="1">
      <c r="A64" s="198"/>
      <c r="B64" s="215" t="str">
        <v>Pisa biały połysk RAL 9003 - maksymalna zalecana zalecana długość profilu 2500 mm</v>
      </c>
      <c r="AD64" s="215" t="e">
        <f ca="1"/>
        <v>#N/A</v>
      </c>
    </row>
    <row r="65" spans="1:30" s="215" customFormat="1" ht="14.85" hidden="1" customHeight="1">
      <c r="A65" s="198"/>
      <c r="B65" s="215" t="str">
        <v>Pisa Czarny matowy - maksymalna zalecana długość profilu 2500 mm</v>
      </c>
      <c r="H65" s="74" t="str">
        <f>'rozpad závěsů bez prázdn. řádků'!$K$1</f>
        <v>krzyżakowy, wkręt</v>
      </c>
      <c r="I65" s="217">
        <v>6</v>
      </c>
      <c r="J65" s="73" t="e">
        <f>VLOOKUP($H$15,'rozpad závěsů bez prázdn. řádků'!$G$2:$X$66,I65,0)</f>
        <v>#N/A</v>
      </c>
      <c r="O65" s="215" t="str" cm="1">
        <f t="array" ref="O65:O66">IF($H$15=kombinace_1!$AB$40,_strong_vzpera_horni,IF($H$15=kombinace_1!$AB$41,_stronglift_klopna,IF($H$12='závěsy dle výklopu'!$BQ$2,$J$65:$J$71,'Translate&amp;Prices&amp;Logo'!$B$185:$B$186)))</f>
        <v>Górne drzwi</v>
      </c>
      <c r="AD65" s="215" t="e">
        <f ca="1"/>
        <v>#N/A</v>
      </c>
    </row>
    <row r="66" spans="1:30" s="215" customFormat="1" ht="14.85" hidden="1" customHeight="1">
      <c r="A66" s="198"/>
      <c r="B66" s="215" t="str">
        <v>Pisa złota - maksymalna zalecana długość profilu 2150 mm</v>
      </c>
      <c r="H66" s="74" t="str">
        <f>'rozpad závěsů bez prázdn. řádků'!$M$1</f>
        <v>na wkręt (z mimośrodem)</v>
      </c>
      <c r="I66" s="217">
        <v>8</v>
      </c>
      <c r="J66" s="73" t="e">
        <f>VLOOKUP($H$15,'rozpad závěsů bez prázdn. řádků'!$G$2:$X$66,I66,0)</f>
        <v>#N/A</v>
      </c>
      <c r="O66" s="215" t="str">
        <v>Dolne drzwi</v>
      </c>
      <c r="AD66" s="215" t="e">
        <f ca="1"/>
        <v>#N/A</v>
      </c>
    </row>
    <row r="67" spans="1:30" s="215" customFormat="1" ht="14.85" hidden="1" customHeight="1">
      <c r="A67" s="198"/>
      <c r="B67" s="215" t="str">
        <v>Rocca (elox.) - maksymalna zalecana zalecana długość profilu 2150 mm</v>
      </c>
      <c r="H67" s="74" t="str">
        <f>'rozpad závěsů bez prázdn. řádků'!$O$1</f>
        <v>krzyżakowy eurowkręt</v>
      </c>
      <c r="I67" s="217">
        <v>10</v>
      </c>
      <c r="J67" s="73" t="e">
        <f>VLOOKUP($H$15,'rozpad závěsů bez prázdn. řádků'!$G$2:$X$66,I67,0)</f>
        <v>#N/A</v>
      </c>
      <c r="AD67" s="215" t="e">
        <f ca="1"/>
        <v>#N/A</v>
      </c>
    </row>
    <row r="68" spans="1:30" s="215" customFormat="1" ht="14.85" hidden="1" customHeight="1">
      <c r="A68" s="198"/>
      <c r="B68" s="215" t="str">
        <v>Rocca czarny matowy - maksymalna zalecana zalecana długość profilu 2150 mm</v>
      </c>
      <c r="H68" s="74" t="str">
        <f>'rozpad závěsů bez prázdn. řádků'!$Q$1</f>
        <v>krzyżakowy expando</v>
      </c>
      <c r="I68" s="217">
        <v>12</v>
      </c>
      <c r="J68" s="73" t="e">
        <f>VLOOKUP($H$15,'rozpad závěsů bez prázdn. řádků'!$G$2:$X$66,I68,0)</f>
        <v>#N/A</v>
      </c>
      <c r="AD68" s="215" t="e">
        <f ca="1"/>
        <v>#N/A</v>
      </c>
    </row>
    <row r="69" spans="1:30" s="215" customFormat="1" ht="14.85" hidden="1" customHeight="1">
      <c r="A69" s="198"/>
      <c r="B69" s="215" t="str">
        <v>Verona (elox.) - maksymalna zalecana zalecana długość profilu 2500 mm</v>
      </c>
      <c r="H69" s="74" t="str">
        <f>'rozpad závěsů bez prázdn. řádků'!$S$1</f>
        <v>prosty wkręt</v>
      </c>
      <c r="I69" s="217">
        <v>14</v>
      </c>
      <c r="J69" s="73" t="e">
        <f>VLOOKUP($H$15,'rozpad závěsů bez prázdn. řádků'!$G$2:$X$66,I69,0)</f>
        <v>#N/A</v>
      </c>
      <c r="AD69" s="215" t="e">
        <f ca="1"/>
        <v>#N/A</v>
      </c>
    </row>
    <row r="70" spans="1:30" s="215" customFormat="1" ht="14.85" hidden="1" customHeight="1">
      <c r="A70" s="198"/>
      <c r="B70" s="215" t="str">
        <v>Verona szczotkowany - maksymalna zalecana zalecana długość profilu 2500 mm</v>
      </c>
      <c r="H70" s="74" t="str">
        <f>'rozpad závěsů bez prázdn. řádků'!$U$1</f>
        <v>prosty eurowkręt</v>
      </c>
      <c r="I70" s="217">
        <v>16</v>
      </c>
      <c r="J70" s="73" t="e">
        <f>VLOOKUP($H$15,'rozpad závěsů bez prázdn. řádků'!$G$2:$X$66,I70,0)</f>
        <v>#N/A</v>
      </c>
      <c r="AD70" s="215" t="e">
        <f ca="1"/>
        <v>#N/A</v>
      </c>
    </row>
    <row r="71" spans="1:30" s="215" customFormat="1" ht="14.85" hidden="1" customHeight="1">
      <c r="A71" s="198"/>
      <c r="B71" s="215" t="str">
        <v>Verona czarny matowy - maksymalna zalecana zalecana długość profilu 2500 mm</v>
      </c>
      <c r="H71" s="74" t="str">
        <f>'rozpad závěsů bez prázdn. řádků'!$W$1</f>
        <v>prosty expando</v>
      </c>
      <c r="I71" s="217">
        <v>18</v>
      </c>
      <c r="J71" s="73" t="e">
        <f>VLOOKUP($H$15,'rozpad závěsů bez prázdn. řádků'!$G$2:$X$66,I71,0)</f>
        <v>#N/A</v>
      </c>
      <c r="AD71" s="215" t="e">
        <f ca="1"/>
        <v>#N/A</v>
      </c>
    </row>
    <row r="72" spans="1:30" s="215" customFormat="1" ht="14.85" hidden="1" customHeight="1">
      <c r="A72" s="198"/>
      <c r="B72" s="215" t="str">
        <v>Verona czarny połysk - maksymalna zalecana zalecana długość profilu 2500 mm</v>
      </c>
      <c r="AD72" s="215" t="e">
        <f ca="1"/>
        <v>#N/A</v>
      </c>
    </row>
    <row r="73" spans="1:30" s="215" customFormat="1" ht="14.85" hidden="1" customHeight="1">
      <c r="A73" s="198"/>
      <c r="B73" s="215" t="str">
        <v>Verona braz - maksymalna zalecana zalecana długość profilu 2500 mm</v>
      </c>
      <c r="AD73" s="215" t="e">
        <f ca="1"/>
        <v>#N/A</v>
      </c>
    </row>
    <row r="74" spans="1:30" s="215" customFormat="1" ht="14.85" hidden="1" customHeight="1">
      <c r="A74" s="198"/>
      <c r="B74" s="215" t="str">
        <v>Verona szampański - maksymalna zalecana zalecana długość profilu 2500 mm</v>
      </c>
      <c r="AD74" s="215" t="e">
        <f ca="1"/>
        <v>#N/A</v>
      </c>
    </row>
    <row r="75" spans="1:30" s="215" customFormat="1" ht="14.85" hidden="1" customHeight="1">
      <c r="A75" s="198"/>
      <c r="B75" s="215" t="str">
        <v>Verona Inox szczotkowany - maksymalna zalecana zalecana długość profilu 2500 mm</v>
      </c>
      <c r="AD75" s="215" t="e">
        <f ca="1"/>
        <v>#N/A</v>
      </c>
    </row>
    <row r="76" spans="1:30" s="215" customFormat="1" ht="14.85" hidden="1" customHeight="1">
      <c r="A76" s="198"/>
      <c r="B76" s="215" t="str">
        <v>Verona Inox Acier szczotkowany - maksymalna zalecana zalecana długość profilu 2500 mm</v>
      </c>
      <c r="AD76" s="215" t="e">
        <f ca="1"/>
        <v>#N/A</v>
      </c>
    </row>
    <row r="77" spans="1:30" s="215" customFormat="1" ht="14.85" hidden="1" customHeight="1">
      <c r="A77" s="198"/>
      <c r="B77" s="215" t="str">
        <v>Verona złota - maksymalna zalecana długość profilu 2150 mm</v>
      </c>
      <c r="AD77" s="215" t="e">
        <f ca="1"/>
        <v>#N/A</v>
      </c>
    </row>
    <row r="78" spans="1:30" s="215" customFormat="1" ht="14.85" hidden="1" customHeight="1">
      <c r="A78" s="198"/>
      <c r="B78" s="215" t="str">
        <v>Verona złota szczotkowany - maksymalna zalecana zalecana długość profilu 2150 mm</v>
      </c>
      <c r="AD78" s="215" t="e">
        <f ca="1"/>
        <v>#N/A</v>
      </c>
    </row>
    <row r="79" spans="1:30" s="215" customFormat="1" ht="14.85" hidden="1" customHeight="1">
      <c r="A79" s="198"/>
      <c r="B79" s="215" t="str">
        <v>Vivaro (elox.) - maksymalna zalecana zalecana długość profilu 2500 mm</v>
      </c>
      <c r="AD79" s="215" t="e">
        <f ca="1"/>
        <v>#N/A</v>
      </c>
    </row>
    <row r="80" spans="1:30" s="215" customFormat="1" ht="14.85" hidden="1" customHeight="1">
      <c r="A80" s="198"/>
      <c r="B80" s="215" t="str">
        <v>Vivaro czarny matowy - maksymalna zalecana zalecana długość profilu 2500 mm</v>
      </c>
      <c r="AD80" s="215" t="e">
        <f ca="1"/>
        <v>#N/A</v>
      </c>
    </row>
    <row r="81" spans="1:38" s="215" customFormat="1" ht="14.85" hidden="1" customHeight="1">
      <c r="A81" s="198"/>
      <c r="B81" s="215" t="str">
        <v>Vivaro INOX (stal nierdzewna) - maksymalna zalecana zalecana długość profilu 2500 mm</v>
      </c>
      <c r="AD81" s="215" t="e">
        <f ca="1"/>
        <v>#N/A</v>
      </c>
    </row>
    <row r="82" spans="1:38" s="215" customFormat="1" ht="14.85" hidden="1" customHeight="1">
      <c r="A82" s="198"/>
      <c r="B82" s="215" t="str">
        <v>Vivaro biały matowy RAL 9003 - maksymalna zalecana zalecana długość profilu 2500 mm</v>
      </c>
      <c r="P82" s="215" t="str">
        <f>IF(OR(H8=kombinace_1!F18,H8=kombinace_1!F19,H8=kombinace_1!A55,H8=kombinace_1!A56,H8=kombinace_1!A57,H8=kombinace_1!A58),"_2_strany",IF(H15=kombinace_1!AB8,"_ramena_HL","_4_strany"))</f>
        <v>_4_strany</v>
      </c>
      <c r="AD82" s="215" t="e">
        <f ca="1"/>
        <v>#N/A</v>
      </c>
    </row>
    <row r="83" spans="1:38" ht="14.85" hidden="1" customHeight="1">
      <c r="B83" s="196" t="str">
        <v>Vivaro biały połysk RAL 9003 - maksymalna zalecana zalecana długość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e">
        <f ca="1"/>
        <v>#N/A</v>
      </c>
      <c r="AE83" s="206"/>
      <c r="AF83" s="206"/>
      <c r="AG83" s="206"/>
      <c r="AH83" s="206"/>
      <c r="AI83" s="208"/>
      <c r="AJ83" s="208"/>
      <c r="AK83" s="208"/>
      <c r="AL83" s="208"/>
    </row>
    <row r="84" spans="1:38" ht="14.85" hidden="1" customHeight="1">
      <c r="B84" s="196" t="str">
        <v>Vivaro złota - maksymalna zalecana zalecana długość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e">
        <f ca="1"/>
        <v>#N/A</v>
      </c>
      <c r="AE84" s="206"/>
      <c r="AF84" s="206"/>
      <c r="AG84" s="206"/>
      <c r="AH84" s="206"/>
      <c r="AI84" s="208"/>
      <c r="AJ84" s="208"/>
      <c r="AK84" s="208"/>
      <c r="AL84" s="208"/>
    </row>
    <row r="85" spans="1:38" ht="14.85" hidden="1" customHeight="1">
      <c r="B85" s="196" t="str">
        <v>Vivaro złota szczotkowany - maksymalna zalecana zalecana długość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e">
        <f ca="1"/>
        <v>#N/A</v>
      </c>
      <c r="AE85" s="206"/>
      <c r="AF85" s="206"/>
      <c r="AG85" s="206"/>
      <c r="AH85" s="206"/>
      <c r="AI85" s="208"/>
      <c r="AJ85" s="208"/>
      <c r="AK85" s="208"/>
      <c r="AL85" s="208"/>
    </row>
    <row r="86" spans="1:38" ht="14.85" hidden="1" customHeight="1">
      <c r="B86" s="196" t="str">
        <v>Rocca elox (lewa i prawa) + Varna elox (góra i dół)</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e">
        <f ca="1"/>
        <v>#N/A</v>
      </c>
      <c r="AE86" s="206"/>
      <c r="AF86" s="206"/>
      <c r="AG86" s="206"/>
      <c r="AH86" s="206"/>
      <c r="AI86" s="208"/>
      <c r="AJ86" s="208"/>
      <c r="AK86" s="208"/>
      <c r="AL86" s="208"/>
    </row>
    <row r="87" spans="1:38" ht="14.85" hidden="1" customHeight="1">
      <c r="B87" s="196" t="str">
        <v>Rocca czarny (lewa i prawa) + Varna czarny (góra i dół)</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e">
        <f ca="1"/>
        <v>#N/A</v>
      </c>
      <c r="AE87" s="206"/>
      <c r="AF87" s="206"/>
      <c r="AG87" s="206"/>
      <c r="AH87" s="206"/>
      <c r="AI87" s="208"/>
      <c r="AJ87" s="208"/>
      <c r="AK87" s="208"/>
      <c r="AL87" s="208"/>
    </row>
    <row r="88" spans="1:38" ht="14.85" hidden="1" customHeight="1">
      <c r="B88" s="196" t="str">
        <v>ROMA czarna matowa -  maksymalna zalecana długość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e">
        <f ca="1"/>
        <v>#N/A</v>
      </c>
      <c r="AE88" s="206"/>
      <c r="AF88" s="206"/>
      <c r="AG88" s="206"/>
      <c r="AH88" s="206"/>
      <c r="AI88" s="208"/>
      <c r="AJ88" s="208"/>
      <c r="AK88" s="208"/>
      <c r="AL88" s="208"/>
    </row>
    <row r="89" spans="1:38" ht="14.85" hidden="1" customHeight="1">
      <c r="B89" s="196" t="str">
        <v>ROMA champagne mat - maksymalna zalecana długość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e">
        <f ca="1"/>
        <v>#N/A</v>
      </c>
      <c r="AE89" s="206"/>
      <c r="AF89" s="206"/>
      <c r="AG89" s="206"/>
      <c r="AH89" s="206"/>
      <c r="AI89" s="208"/>
      <c r="AJ89" s="208"/>
      <c r="AK89" s="208"/>
      <c r="AL89" s="208"/>
    </row>
    <row r="90" spans="1:38" ht="14.85" hidden="1" customHeight="1">
      <c r="B90" s="196" t="str">
        <v>ROMA GRIP czarna matowa - maksymalna zalecana długość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e">
        <f ca="1"/>
        <v>#N/A</v>
      </c>
      <c r="AE90" s="206"/>
      <c r="AF90" s="206"/>
      <c r="AG90" s="206"/>
      <c r="AH90" s="206"/>
      <c r="AI90" s="208"/>
      <c r="AJ90" s="208"/>
      <c r="AK90" s="208"/>
      <c r="AL90" s="208"/>
    </row>
    <row r="91" spans="1:38" ht="14.85" hidden="1" customHeight="1">
      <c r="B91" s="196" t="str">
        <v>ROMA GRIP champagne mat - maksymalna zalecana długość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e">
        <f ca="1"/>
        <v>#N/A</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e">
        <f ca="1"/>
        <v>#N/A</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e">
        <f ca="1"/>
        <v>#N/A</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e">
        <f ca="1"/>
        <v>#N/A</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e">
        <f ca="1"/>
        <v>#N/A</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e">
        <f ca="1"/>
        <v>#N/A</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e">
        <f ca="1"/>
        <v>#N/A</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sheetData>
  <sheetProtection algorithmName="SHA-512" hashValue="3mu+IYwqKzZVk+hRdA5Wh/riUMQfd+TuLeu3fWv0KD14RQRhyKkTtxhU0ieGj/i3pJ9YeqX8Lykk+4QD+hm6bA==" saltValue="VgJ++oCNtMYOQizobnIGxw==" spinCount="100000" sheet="1" objects="1" scenarios="1"/>
  <protectedRanges>
    <protectedRange sqref="G7 I7:R7" name="Oblast1"/>
  </protectedRanges>
  <dataConsolidate/>
  <mergeCells count="99">
    <mergeCell ref="AN47:AO47"/>
    <mergeCell ref="AP47:AQ47"/>
    <mergeCell ref="BI3:BM3"/>
    <mergeCell ref="AP2:AS3"/>
    <mergeCell ref="BD3:BH3"/>
    <mergeCell ref="AO31:AR32"/>
    <mergeCell ref="AR19:AR23"/>
    <mergeCell ref="AN19:AO19"/>
    <mergeCell ref="AR14:AR18"/>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B33:K34"/>
    <mergeCell ref="L33:Q34"/>
    <mergeCell ref="V34:W34"/>
    <mergeCell ref="J20:M20"/>
    <mergeCell ref="AC24:AG24"/>
    <mergeCell ref="B25:F25"/>
    <mergeCell ref="B26:F26"/>
    <mergeCell ref="H25:Q25"/>
    <mergeCell ref="P29:Q29"/>
    <mergeCell ref="D29:O29"/>
  </mergeCells>
  <conditionalFormatting sqref="B5 F5 J5 N5 R5 V5">
    <cfRule type="cellIs" dxfId="856" priority="62" operator="equal">
      <formula>$A$2</formula>
    </cfRule>
  </conditionalFormatting>
  <conditionalFormatting sqref="B16:I16">
    <cfRule type="expression" dxfId="855" priority="322">
      <formula>$AU$19=0</formula>
    </cfRule>
  </conditionalFormatting>
  <conditionalFormatting sqref="B9:Q9">
    <cfRule type="expression" dxfId="854" priority="98">
      <formula>$B$9=0</formula>
    </cfRule>
  </conditionalFormatting>
  <conditionalFormatting sqref="B11:Q11">
    <cfRule type="expression" dxfId="853" priority="303">
      <formula>$AU$10=0</formula>
    </cfRule>
  </conditionalFormatting>
  <conditionalFormatting sqref="B14:Q14">
    <cfRule type="expression" dxfId="852" priority="96">
      <formula>$B$14=0</formula>
    </cfRule>
  </conditionalFormatting>
  <conditionalFormatting sqref="B17:Q17">
    <cfRule type="expression" dxfId="851" priority="90">
      <formula>$B$17=0</formula>
    </cfRule>
  </conditionalFormatting>
  <conditionalFormatting sqref="B18:Q18">
    <cfRule type="expression" dxfId="850" priority="40" stopIfTrue="1">
      <formula>$B$18=0</formula>
    </cfRule>
    <cfRule type="expression" dxfId="849" priority="43">
      <formula>$F$16=$H$61</formula>
    </cfRule>
  </conditionalFormatting>
  <conditionalFormatting sqref="B19:Q19">
    <cfRule type="expression" dxfId="848" priority="89">
      <formula>$B$19=0</formula>
    </cfRule>
  </conditionalFormatting>
  <conditionalFormatting sqref="B20:Q20">
    <cfRule type="expression" dxfId="847" priority="64">
      <formula>$B$19=0</formula>
    </cfRule>
    <cfRule type="expression" dxfId="846" priority="63">
      <formula>$B$20=0</formula>
    </cfRule>
  </conditionalFormatting>
  <conditionalFormatting sqref="B21:Q21">
    <cfRule type="expression" dxfId="845" priority="15">
      <formula>$B$21=" "</formula>
    </cfRule>
  </conditionalFormatting>
  <conditionalFormatting sqref="B24:Q24">
    <cfRule type="expression" dxfId="844" priority="47" stopIfTrue="1">
      <formula>$T$59&lt;3</formula>
    </cfRule>
  </conditionalFormatting>
  <conditionalFormatting sqref="H23">
    <cfRule type="expression" dxfId="843" priority="265">
      <formula>$H$25&gt;0</formula>
    </cfRule>
  </conditionalFormatting>
  <conditionalFormatting sqref="H10:L11">
    <cfRule type="expression" dxfId="842" priority="58">
      <formula>$AU$10=2</formula>
    </cfRule>
  </conditionalFormatting>
  <conditionalFormatting sqref="H10:Q10">
    <cfRule type="expression" dxfId="841" priority="57">
      <formula>$AU$10=0</formula>
    </cfRule>
  </conditionalFormatting>
  <conditionalFormatting sqref="H22:Q22 B22:G23">
    <cfRule type="expression" dxfId="840" priority="52">
      <formula>$AS$33=1</formula>
    </cfRule>
  </conditionalFormatting>
  <conditionalFormatting sqref="J16:M16">
    <cfRule type="expression" dxfId="839" priority="42" stopIfTrue="1">
      <formula>$K$60=TRUE</formula>
    </cfRule>
  </conditionalFormatting>
  <conditionalFormatting sqref="J16:N16">
    <cfRule type="expression" dxfId="838" priority="45" stopIfTrue="1">
      <formula>$AV$19=0</formula>
    </cfRule>
  </conditionalFormatting>
  <conditionalFormatting sqref="M10:Q11">
    <cfRule type="expression" dxfId="837" priority="56">
      <formula>$AU$10=1</formula>
    </cfRule>
  </conditionalFormatting>
  <conditionalFormatting sqref="N16:Q16">
    <cfRule type="expression" dxfId="836" priority="41" stopIfTrue="1">
      <formula>$K$60=TRUE</formula>
    </cfRule>
  </conditionalFormatting>
  <conditionalFormatting sqref="P29:Q29">
    <cfRule type="expression" dxfId="835" priority="1">
      <formula>$U$41=2</formula>
    </cfRule>
  </conditionalFormatting>
  <conditionalFormatting sqref="AA9:AA10 AA24:AA25">
    <cfRule type="expression" dxfId="834" priority="19" stopIfTrue="1">
      <formula>$AU$17=1</formula>
    </cfRule>
  </conditionalFormatting>
  <conditionalFormatting sqref="AA16:AA17">
    <cfRule type="expression" dxfId="833" priority="11" stopIfTrue="1">
      <formula>$AU$24="1_3"</formula>
    </cfRule>
  </conditionalFormatting>
  <conditionalFormatting sqref="AB6 AA6:AA7 AA27 AA28:AB28">
    <cfRule type="expression" dxfId="832" priority="8" stopIfTrue="1">
      <formula>$AV$17=1</formula>
    </cfRule>
  </conditionalFormatting>
  <conditionalFormatting sqref="AB29:AO29">
    <cfRule type="cellIs" dxfId="831" priority="4" operator="equal">
      <formula>0</formula>
    </cfRule>
  </conditionalFormatting>
  <conditionalFormatting sqref="AC6:AD6 AM6:AN6">
    <cfRule type="expression" dxfId="830" priority="23" stopIfTrue="1">
      <formula>$AU$17=3</formula>
    </cfRule>
  </conditionalFormatting>
  <conditionalFormatting sqref="AC25:AD25 AJ26:AJ27">
    <cfRule type="expression" dxfId="829" priority="274">
      <formula>$AU$25=4</formula>
    </cfRule>
  </conditionalFormatting>
  <conditionalFormatting sqref="AC28:AD28 AM28:AN28">
    <cfRule type="expression" dxfId="828" priority="22" stopIfTrue="1">
      <formula>$AU$17=4</formula>
    </cfRule>
  </conditionalFormatting>
  <conditionalFormatting sqref="AC8:AG8">
    <cfRule type="expression" dxfId="827" priority="286">
      <formula>$AU$25=3</formula>
    </cfRule>
  </conditionalFormatting>
  <conditionalFormatting sqref="AC24:AG24">
    <cfRule type="expression" dxfId="826" priority="283">
      <formula>$AU$25=4</formula>
    </cfRule>
  </conditionalFormatting>
  <conditionalFormatting sqref="AD10:AD12 AB19:AC19">
    <cfRule type="expression" dxfId="825" priority="268">
      <formula>$AU$25=1</formula>
    </cfRule>
  </conditionalFormatting>
  <conditionalFormatting sqref="AD14:AD21">
    <cfRule type="expression" dxfId="824" priority="267">
      <formula>$AU$25=1</formula>
    </cfRule>
  </conditionalFormatting>
  <conditionalFormatting sqref="AE10:AE16">
    <cfRule type="expression" dxfId="823" priority="284">
      <formula>$AU$25=1</formula>
    </cfRule>
  </conditionalFormatting>
  <conditionalFormatting sqref="AF9:AK9">
    <cfRule type="expression" dxfId="822" priority="271">
      <formula>$AU$25=3</formula>
    </cfRule>
  </conditionalFormatting>
  <conditionalFormatting sqref="AF25:AK25">
    <cfRule type="expression" dxfId="821" priority="273">
      <formula>$AU$25=4</formula>
    </cfRule>
  </conditionalFormatting>
  <conditionalFormatting sqref="AG6:AH6">
    <cfRule type="expression" dxfId="820" priority="17" stopIfTrue="1">
      <formula>$AU$24="3_3"</formula>
    </cfRule>
  </conditionalFormatting>
  <conditionalFormatting sqref="AG28:AH28">
    <cfRule type="expression" dxfId="819" priority="16" stopIfTrue="1">
      <formula>$AU$24="4_3"</formula>
    </cfRule>
  </conditionalFormatting>
  <conditionalFormatting sqref="AJ7:AJ8 AC9:AD9">
    <cfRule type="expression" dxfId="818" priority="272">
      <formula>$AU$25=3</formula>
    </cfRule>
  </conditionalFormatting>
  <conditionalFormatting sqref="AL19:AL25">
    <cfRule type="expression" dxfId="817" priority="285">
      <formula>$AU$25=2</formula>
    </cfRule>
  </conditionalFormatting>
  <conditionalFormatting sqref="AM14:AM21">
    <cfRule type="expression" dxfId="816" priority="269">
      <formula>$AU$25=2</formula>
    </cfRule>
  </conditionalFormatting>
  <conditionalFormatting sqref="AN19:AO19 AM23:AM25">
    <cfRule type="expression" dxfId="815" priority="270">
      <formula>$AU$25=2</formula>
    </cfRule>
  </conditionalFormatting>
  <conditionalFormatting sqref="AO6 AP6:AP7 AP27 AO28:AP28">
    <cfRule type="expression" dxfId="814" priority="7" stopIfTrue="1">
      <formula>$AV$17=2</formula>
    </cfRule>
  </conditionalFormatting>
  <conditionalFormatting sqref="AP9:AP10 AP24:AP25">
    <cfRule type="expression" dxfId="813" priority="18" stopIfTrue="1">
      <formula>$AU$17=2</formula>
    </cfRule>
  </conditionalFormatting>
  <conditionalFormatting sqref="AP16:AP17">
    <cfRule type="expression" dxfId="812"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B36:B91</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$O$65:$O$84</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INDIRECT($P$82)</formula1>
    </dataValidation>
    <dataValidation type="list" allowBlank="1" showInputMessage="1" showErrorMessage="1" sqref="H25:Q25" xr:uid="{5AC7296A-233F-40AD-BFAF-17AF8A9C5039}">
      <formula1>$AD$54:$AD$97</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6F32262B95F28429582A731454DAC22" ma:contentTypeVersion="9" ma:contentTypeDescription="Vytvoří nový dokument" ma:contentTypeScope="" ma:versionID="bfcf789e7637b0419aba8c2ecb10c0f8">
  <xsd:schema xmlns:xsd="http://www.w3.org/2001/XMLSchema" xmlns:xs="http://www.w3.org/2001/XMLSchema" xmlns:p="http://schemas.microsoft.com/office/2006/metadata/properties" xmlns:ns2="2c8825e3-4848-4b63-9b10-965fc9c256c4" xmlns:ns3="64fddb11-1e6d-45a8-860c-ea134d1632ab" targetNamespace="http://schemas.microsoft.com/office/2006/metadata/properties" ma:root="true" ma:fieldsID="cdb95f13ee6376e0ce0ca202827a2c51" ns2:_="" ns3:_="">
    <xsd:import namespace="2c8825e3-4848-4b63-9b10-965fc9c256c4"/>
    <xsd:import namespace="64fddb11-1e6d-45a8-860c-ea134d1632a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8825e3-4848-4b63-9b10-965fc9c256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db11-1e6d-45a8-860c-ea134d1632ab" elementFormDefault="qualified">
    <xsd:import namespace="http://schemas.microsoft.com/office/2006/documentManagement/types"/>
    <xsd:import namespace="http://schemas.microsoft.com/office/infopath/2007/PartnerControls"/>
    <xsd:element name="SharedWithUsers" ma:index="10"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3DC5C0-9A8E-44A5-8971-A70FA6400C5D}">
  <ds:schemaRefs>
    <ds:schemaRef ds:uri="http://schemas.microsoft.com/sharepoint/v3/contenttype/forms"/>
  </ds:schemaRefs>
</ds:datastoreItem>
</file>

<file path=customXml/itemProps2.xml><?xml version="1.0" encoding="utf-8"?>
<ds:datastoreItem xmlns:ds="http://schemas.openxmlformats.org/officeDocument/2006/customXml" ds:itemID="{DA83E9FC-7A4F-40D8-8A52-81C734DA3A8D}">
  <ds:schemaRefs>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2c8825e3-4848-4b63-9b10-965fc9c256c4"/>
    <ds:schemaRef ds:uri="http://purl.org/dc/dcmitype/"/>
    <ds:schemaRef ds:uri="http://schemas.openxmlformats.org/package/2006/metadata/core-properties"/>
    <ds:schemaRef ds:uri="64fddb11-1e6d-45a8-860c-ea134d1632ab"/>
  </ds:schemaRefs>
</ds:datastoreItem>
</file>

<file path=customXml/itemProps3.xml><?xml version="1.0" encoding="utf-8"?>
<ds:datastoreItem xmlns:ds="http://schemas.openxmlformats.org/officeDocument/2006/customXml" ds:itemID="{050BD8CA-DF8C-45D3-BB77-7ECB600C0F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8825e3-4848-4b63-9b10-965fc9c256c4"/>
    <ds:schemaRef ds:uri="64fddb11-1e6d-45a8-860c-ea134d163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32</vt:i4>
      </vt:variant>
      <vt:variant>
        <vt:lpstr>Pojmenované oblasti</vt:lpstr>
      </vt:variant>
      <vt:variant>
        <vt:i4>157</vt:i4>
      </vt:variant>
    </vt:vector>
  </HeadingPairs>
  <TitlesOfParts>
    <vt:vector size="189"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Ram_2_zaloha_old</vt:lpstr>
      <vt:lpstr>kombinace_posuv</vt:lpstr>
      <vt:lpstr>Posuv</vt:lpstr>
      <vt:lpstr>Doprava Posun</vt:lpstr>
      <vt:lpstr>Typy profilů</vt:lpstr>
      <vt:lpstr>_souhrn</vt:lpstr>
      <vt:lpstr>Barevnice</vt:lpstr>
      <vt:lpstr>_souhrn (2)</vt:lpstr>
      <vt:lpstr>_souhrn (3)</vt:lpstr>
      <vt:lpstr>kalkulace dopravy</vt:lpstr>
      <vt:lpstr>doprava demont</vt:lpstr>
      <vt:lpstr>POMOC SEZNAM PANTU</vt:lpstr>
      <vt:lpstr>_1</vt:lpstr>
      <vt:lpstr>_2</vt:lpstr>
      <vt:lpstr>_2_strany</vt:lpstr>
      <vt:lpstr>_3</vt:lpstr>
      <vt:lpstr>_4_strany</vt:lpstr>
      <vt:lpstr>kombinace_posuv!_A1</vt:lpstr>
      <vt:lpstr>_A1</vt:lpstr>
      <vt:lpstr>kombinace_posuv!_A2</vt:lpstr>
      <vt:lpstr>_A2</vt:lpstr>
      <vt:lpstr>kombinace_posuv!_A3</vt:lpstr>
      <vt:lpstr>_A3</vt:lpstr>
      <vt:lpstr>_corleone</vt:lpstr>
      <vt:lpstr>kombinace_posuv!_kombinovane_profily</vt:lpstr>
      <vt:lpstr>_kombinovane_profily</vt:lpstr>
      <vt:lpstr>kombinace_posuv!_N1</vt:lpstr>
      <vt:lpstr>_N1</vt:lpstr>
      <vt:lpstr>kombinace_posuv!_N2</vt:lpstr>
      <vt:lpstr>_N2</vt:lpstr>
      <vt:lpstr>kombinace_posuv!_N3</vt:lpstr>
      <vt:lpstr>_N3</vt:lpstr>
      <vt:lpstr>kombinace_posuv!_pocet_sprzosy</vt:lpstr>
      <vt:lpstr>_profily_síťka</vt:lpstr>
      <vt:lpstr>_ramena_HL</vt:lpstr>
      <vt:lpstr>_Salice_naložený</vt:lpstr>
      <vt:lpstr>_strong_vzpera_horni</vt:lpstr>
      <vt:lpstr>_stronglift_klopna</vt:lpstr>
      <vt:lpstr>kombinace_posuv!_široký_Automatická_vzpěra</vt:lpstr>
      <vt:lpstr>kombinace_posuv!_široký_Aventos_HF</vt:lpstr>
      <vt:lpstr>kombinace_posuv!_široký_Aventos_HK_XS</vt:lpstr>
      <vt:lpstr>_široký_BLUM_naložený</vt:lpstr>
      <vt:lpstr>_široký_BLUM_polonaložený</vt:lpstr>
      <vt:lpstr>_široký_BLUM_vložený</vt:lpstr>
      <vt:lpstr>kombinace_posuv!_široký_Duo</vt:lpstr>
      <vt:lpstr>kombinace_posuv!_široký_Duo_Forte</vt:lpstr>
      <vt:lpstr>kombinace_posuv!_široký_FREEfold</vt:lpstr>
      <vt:lpstr>kombinace_posuv!_široký_FREElight</vt:lpstr>
      <vt:lpstr>_široký_HETTICH_naložený</vt:lpstr>
      <vt:lpstr>_široký_HETTICH_polonaložený</vt:lpstr>
      <vt:lpstr>_široký_HETTICH_vložený</vt:lpstr>
      <vt:lpstr>kombinace_posuv!_široký_K12</vt:lpstr>
      <vt:lpstr>kombinace_posuv!_široký_Kiaro</vt:lpstr>
      <vt:lpstr>kombinace_posuv!_široký_Kraby</vt:lpstr>
      <vt:lpstr>kombinace_posuv!_široký_LiftMini</vt:lpstr>
      <vt:lpstr>kombinace_posuv!_široký_Link</vt:lpstr>
      <vt:lpstr>kombinace_posuv!_široký_Maxi</vt:lpstr>
      <vt:lpstr>kombinace_posuv!_široký_Polohovací_vzpěra</vt:lpstr>
      <vt:lpstr>kombinace_posuv!_široký_Spodní_K12</vt:lpstr>
      <vt:lpstr>kombinace_posuv!_široký_Spodní_Kraby</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kombinace_posuv!_umisteni_zavesu</vt:lpstr>
      <vt:lpstr>kombinace_posuv!_umisteni_zavesu_vyklop</vt:lpstr>
      <vt:lpstr>kombinace_posuv!_Úzký_Automatická_vzpěra</vt:lpstr>
      <vt:lpstr>kombinace_posuv!_Úzký_Aventos_HK_XS</vt:lpstr>
      <vt:lpstr>_úzký_BLUM_naložený</vt:lpstr>
      <vt:lpstr>_úzký_BLUM_naložený_Rocca</vt:lpstr>
      <vt:lpstr>_úzký_BLUM_polonaložený</vt:lpstr>
      <vt:lpstr>_úzký_BLUM_polonaložený_Rocca</vt:lpstr>
      <vt:lpstr>_úzký_BLUM_vložený</vt:lpstr>
      <vt:lpstr>_úzký_BLUM_vložený_Rocca</vt:lpstr>
      <vt:lpstr>kombinace_posuv!_Úzký_Duo</vt:lpstr>
      <vt:lpstr>kombinace_posuv!_Úzký_Duo_Forte</vt:lpstr>
      <vt:lpstr>kombinace_posuv!_Úzký_FREEfold</vt:lpstr>
      <vt:lpstr>kombinace_posuv!_Úzký_FREElight</vt:lpstr>
      <vt:lpstr>_úzký_HETTICH_naložený</vt:lpstr>
      <vt:lpstr>_úzký_HETTICH_polonaložený</vt:lpstr>
      <vt:lpstr>_úzký_HETTICH_vložený</vt:lpstr>
      <vt:lpstr>kombinace_posuv!_Úzký_K12</vt:lpstr>
      <vt:lpstr>kombinace_posuv!_Úzký_Kiaro</vt:lpstr>
      <vt:lpstr>kombinace_posuv!_Úzký_Kraby</vt:lpstr>
      <vt:lpstr>kombinace_posuv!_Úzký_LiftMini</vt:lpstr>
      <vt:lpstr>kombinace_posuv!_Úzký_Link</vt:lpstr>
      <vt:lpstr>kombinace_posuv!_Úzký_Maxi</vt:lpstr>
      <vt:lpstr>kombinace_posuv!_Úzký_Polohovací_vzpěra</vt:lpstr>
      <vt:lpstr>kombinace_posuv!_Úzký_Spodní_K12</vt:lpstr>
      <vt:lpstr>kombinace_posuv!_Úzký_Spodní_Kraby</vt:lpstr>
      <vt:lpstr>_úzký_STRONGHINGESS3_naložený</vt:lpstr>
      <vt:lpstr>_úzký_STRONGHINGESS5_naložený</vt:lpstr>
      <vt:lpstr>kombinace_posuv!_vše_profily</vt:lpstr>
      <vt:lpstr>_vše_profily</vt:lpstr>
      <vt:lpstr>kombinace_2!_vyklopy_blum</vt:lpstr>
      <vt:lpstr>kombinace_3!_vyklopy_blum</vt:lpstr>
      <vt:lpstr>kombinace_4!_vyklopy_blum</vt:lpstr>
      <vt:lpstr>kombinace_5!_vyklopy_blum</vt:lpstr>
      <vt:lpstr>kombinace_6!_vyklopy_blum</vt:lpstr>
      <vt:lpstr>kombinace_posuv!_vyklopy_blum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kombinace_posuv!_vyklopy_hettich</vt:lpstr>
      <vt:lpstr>_vyklopy_hettich</vt:lpstr>
      <vt:lpstr>kombinace_2!_vyklopy_italiana</vt:lpstr>
      <vt:lpstr>kombinace_3!_vyklopy_italiana</vt:lpstr>
      <vt:lpstr>kombinace_4!_vyklopy_italiana</vt:lpstr>
      <vt:lpstr>kombinace_5!_vyklopy_italiana</vt:lpstr>
      <vt:lpstr>kombinace_6!_vyklopy_italiana</vt:lpstr>
      <vt:lpstr>kombinace_posuv!_vyklopy_italiana</vt:lpstr>
      <vt:lpstr>_vyklopy_italiana</vt:lpstr>
      <vt:lpstr>kombinace_2!_vyklopy_kesse</vt:lpstr>
      <vt:lpstr>kombinace_3!_vyklopy_kesse</vt:lpstr>
      <vt:lpstr>kombinace_4!_vyklopy_kesse</vt:lpstr>
      <vt:lpstr>kombinace_5!_vyklopy_kesse</vt:lpstr>
      <vt:lpstr>kombinace_6!_vyklopy_kesse</vt:lpstr>
      <vt:lpstr>kombinace_posuv!_vyklopy_kesse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kombinace_posuv!_vyklopy_strong</vt:lpstr>
      <vt:lpstr>_vyklopy_stronglift</vt:lpstr>
      <vt:lpstr>kombinace_2!_zavesy_blum</vt:lpstr>
      <vt:lpstr>kombinace_3!_zavesy_blum</vt:lpstr>
      <vt:lpstr>kombinace_4!_zavesy_blum</vt:lpstr>
      <vt:lpstr>kombinace_5!_zavesy_blum</vt:lpstr>
      <vt:lpstr>kombinace_6!_zavesy_blum</vt:lpstr>
      <vt:lpstr>kombinace_posuv!_zavesy_blum</vt:lpstr>
      <vt:lpstr>_zavesy_blum</vt:lpstr>
      <vt:lpstr>kombinace_2!_zavesy_hettich</vt:lpstr>
      <vt:lpstr>kombinace_3!_zavesy_hettich</vt:lpstr>
      <vt:lpstr>kombinace_4!_zavesy_hettich</vt:lpstr>
      <vt:lpstr>kombinace_5!_zavesy_hettich</vt:lpstr>
      <vt:lpstr>kombinace_6!_zavesy_hettich</vt:lpstr>
      <vt:lpstr>kombinace_posuv!_zavesy_hettich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kombinace_posuv!_zavesy_strong</vt:lpstr>
      <vt:lpstr>_zavesy_stronghingesS5</vt:lpstr>
      <vt:lpstr>kombinace_posuv!_znacka_vyklopy</vt:lpstr>
      <vt:lpstr>_znacka_vyklopy</vt:lpstr>
      <vt:lpstr>kombinace_posuv!_znacka_zavesy</vt:lpstr>
      <vt:lpstr>_znacka_zavesy</vt:lpstr>
      <vt:lpstr>_znacka_zavesy_proROMA</vt:lpstr>
      <vt:lpstr>_souhrn!Oblast_tisku</vt:lpstr>
      <vt:lpstr>'_souhrn (2)'!Oblast_tisku</vt:lpstr>
      <vt:lpstr>'_souhrn (3)'!Oblast_tisku</vt:lpstr>
      <vt:lpstr>Ram_1!Oblast_tisku</vt:lpstr>
      <vt:lpstr>Ram_2!Oblast_tisku</vt:lpstr>
      <vt:lpstr>Ram_3!Oblast_tisku</vt:lpstr>
      <vt:lpstr>Ram_4!Oblast_tisku</vt:lpstr>
      <vt:lpstr>Ram_5!Oblast_tisku</vt:lpstr>
      <vt:lpstr>Ram_6!Oblast_tisku</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2025-02-27T11:53:14Z</cp:lastPrinted>
  <dcterms:created xsi:type="dcterms:W3CDTF">2008-11-20T10:06:03Z</dcterms:created>
  <dcterms:modified xsi:type="dcterms:W3CDTF">2026-03-18T13:06:48Z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0x01010036F32262B95F28429582A731454DAC22</vt:lpwstr>
  </property>
</Properties>
</file>